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 filterPrivacy="1" codeName="ThisWorkbook"/>
  <xr:revisionPtr revIDLastSave="0" documentId="13_ncr:1_{42E9E522-457A-4319-A4A3-F55EBF115E1D}" xr6:coauthVersionLast="47" xr6:coauthVersionMax="47" xr10:uidLastSave="{00000000-0000-0000-0000-000000000000}"/>
  <bookViews>
    <workbookView xWindow="-28800" yWindow="1905" windowWidth="27990" windowHeight="17070" activeTab="1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semaglutide IP" sheetId="46" r:id="rId5"/>
    <sheet name="Wegovy" sheetId="30" r:id="rId6"/>
    <sheet name="Rybelsus" sheetId="39" r:id="rId7"/>
    <sheet name="monlunabant" sheetId="45" r:id="rId8"/>
    <sheet name="Type 2 Diabetes" sheetId="29" r:id="rId9"/>
    <sheet name="Victoza" sheetId="26" r:id="rId10"/>
    <sheet name="NovoLog" sheetId="27" r:id="rId11"/>
    <sheet name="Levemir" sheetId="28" r:id="rId12"/>
    <sheet name="Sogroya" sheetId="41" r:id="rId13"/>
    <sheet name="Mim8" sheetId="42" r:id="rId14"/>
    <sheet name="insulin icodec" sheetId="34" r:id="rId15"/>
    <sheet name="Esperoct" sheetId="43" r:id="rId16"/>
    <sheet name="NNC6022" sheetId="33" r:id="rId17"/>
    <sheet name="ziltivekimab" sheetId="37" r:id="rId18"/>
    <sheet name="amycretin" sheetId="38" r:id="rId19"/>
    <sheet name="GLP-1-GIP" sheetId="36" r:id="rId20"/>
    <sheet name="cagrilintide" sheetId="35" r:id="rId21"/>
    <sheet name="conicizumab" sheetId="44" r:id="rId22"/>
    <sheet name="CDR132L" sheetId="32" r:id="rId23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KK">Model!$B$2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Model!$A$2:$CO$49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S53" i="6" l="1"/>
  <c r="BR53" i="6"/>
  <c r="CY17" i="6"/>
  <c r="BR28" i="6"/>
  <c r="BR29" i="6"/>
  <c r="BR11" i="6"/>
  <c r="BR13" i="6"/>
  <c r="DI18" i="6"/>
  <c r="DH18" i="6"/>
  <c r="DG18" i="6"/>
  <c r="DF18" i="6"/>
  <c r="DE18" i="6"/>
  <c r="DD18" i="6"/>
  <c r="CY32" i="6"/>
  <c r="CY31" i="6"/>
  <c r="CY30" i="6"/>
  <c r="CY24" i="6"/>
  <c r="CY22" i="6"/>
  <c r="CY14" i="6"/>
  <c r="CY12" i="6"/>
  <c r="CY10" i="6"/>
  <c r="CY9" i="6"/>
  <c r="CY8" i="6"/>
  <c r="CY7" i="6"/>
  <c r="CY6" i="6"/>
  <c r="CY5" i="6"/>
  <c r="CY4" i="6"/>
  <c r="CY3" i="6"/>
  <c r="C23" i="31"/>
  <c r="C22" i="31"/>
  <c r="BP109" i="6"/>
  <c r="BQ109" i="6" s="1"/>
  <c r="BQ79" i="6"/>
  <c r="BQ80" i="6"/>
  <c r="BQ78" i="6"/>
  <c r="BQ77" i="6"/>
  <c r="BQ68" i="6"/>
  <c r="BQ70" i="6"/>
  <c r="BQ69" i="6"/>
  <c r="BQ63" i="6"/>
  <c r="BQ67" i="6"/>
  <c r="BQ29" i="6"/>
  <c r="BQ28" i="6" s="1"/>
  <c r="BQ11" i="6"/>
  <c r="BQ13" i="6" s="1"/>
  <c r="AT78" i="6"/>
  <c r="AT80" i="6"/>
  <c r="AT77" i="6"/>
  <c r="AT70" i="6"/>
  <c r="AT68" i="6"/>
  <c r="AT67" i="6" s="1"/>
  <c r="AT75" i="6"/>
  <c r="AR109" i="6"/>
  <c r="AS109" i="6" s="1"/>
  <c r="AT105" i="6"/>
  <c r="AU54" i="6"/>
  <c r="AV54" i="6"/>
  <c r="AW54" i="6"/>
  <c r="AX54" i="6"/>
  <c r="AY54" i="6"/>
  <c r="AZ54" i="6"/>
  <c r="AT40" i="6"/>
  <c r="AT41" i="6" s="1"/>
  <c r="AT45" i="6" s="1"/>
  <c r="AT63" i="6"/>
  <c r="AT62" i="6"/>
  <c r="AS80" i="6"/>
  <c r="AS78" i="6"/>
  <c r="AS77" i="6"/>
  <c r="AS68" i="6"/>
  <c r="AS70" i="6"/>
  <c r="AS44" i="6"/>
  <c r="AS40" i="6"/>
  <c r="AS67" i="6"/>
  <c r="AS63" i="6"/>
  <c r="AS62" i="6"/>
  <c r="AR17" i="6"/>
  <c r="AR23" i="6" s="1"/>
  <c r="AR77" i="6"/>
  <c r="AR80" i="6"/>
  <c r="AR78" i="6"/>
  <c r="AR68" i="6"/>
  <c r="AR70" i="6"/>
  <c r="AR106" i="6"/>
  <c r="AR104" i="6"/>
  <c r="AS104" i="6" s="1"/>
  <c r="AT104" i="6" s="1"/>
  <c r="AR103" i="6"/>
  <c r="AS103" i="6" s="1"/>
  <c r="AR98" i="6"/>
  <c r="AS98" i="6" s="1"/>
  <c r="AT98" i="6" s="1"/>
  <c r="AR97" i="6"/>
  <c r="AS97" i="6" s="1"/>
  <c r="AR94" i="6"/>
  <c r="AS94" i="6" s="1"/>
  <c r="AT94" i="6" s="1"/>
  <c r="AR93" i="6"/>
  <c r="AS93" i="6" s="1"/>
  <c r="AT93" i="6" s="1"/>
  <c r="AR92" i="6"/>
  <c r="AS92" i="6" s="1"/>
  <c r="AT92" i="6" s="1"/>
  <c r="AR90" i="6"/>
  <c r="AS90" i="6" s="1"/>
  <c r="AT90" i="6" s="1"/>
  <c r="AR91" i="6"/>
  <c r="AS91" i="6" s="1"/>
  <c r="AT91" i="6" s="1"/>
  <c r="AR89" i="6"/>
  <c r="AS89" i="6" s="1"/>
  <c r="AT89" i="6" s="1"/>
  <c r="AR88" i="6"/>
  <c r="AS88" i="6" s="1"/>
  <c r="AT88" i="6" s="1"/>
  <c r="AR107" i="6"/>
  <c r="AR87" i="6"/>
  <c r="AS87" i="6" s="1"/>
  <c r="AU53" i="6"/>
  <c r="AZ53" i="6"/>
  <c r="AY53" i="6"/>
  <c r="AX53" i="6"/>
  <c r="AW53" i="6"/>
  <c r="AV53" i="6"/>
  <c r="AR4" i="6"/>
  <c r="AR44" i="6"/>
  <c r="AR40" i="6"/>
  <c r="AR63" i="6"/>
  <c r="AR62" i="6"/>
  <c r="AQ80" i="6"/>
  <c r="AQ78" i="6"/>
  <c r="AQ77" i="6"/>
  <c r="AQ68" i="6"/>
  <c r="AQ70" i="6"/>
  <c r="AQ84" i="6"/>
  <c r="AQ67" i="6"/>
  <c r="AQ107" i="6"/>
  <c r="AQ100" i="6"/>
  <c r="AQ101" i="6" s="1"/>
  <c r="AQ90" i="6"/>
  <c r="AQ95" i="6" s="1"/>
  <c r="AQ44" i="6"/>
  <c r="AQ40" i="6"/>
  <c r="AQ63" i="6"/>
  <c r="AQ62" i="6"/>
  <c r="AQ29" i="6"/>
  <c r="AQ11" i="6"/>
  <c r="AQ13" i="6" s="1"/>
  <c r="AQ33" i="6" s="1"/>
  <c r="AX77" i="6"/>
  <c r="AX67" i="6" s="1"/>
  <c r="AX80" i="6"/>
  <c r="AX78" i="6"/>
  <c r="AX68" i="6"/>
  <c r="AX70" i="6"/>
  <c r="AX69" i="6"/>
  <c r="AV109" i="6"/>
  <c r="AW109" i="6" s="1"/>
  <c r="AX109" i="6" s="1"/>
  <c r="AX103" i="6"/>
  <c r="AX100" i="6"/>
  <c r="AX98" i="6"/>
  <c r="AX97" i="6"/>
  <c r="AX94" i="6"/>
  <c r="AX93" i="6"/>
  <c r="AX92" i="6"/>
  <c r="AX91" i="6"/>
  <c r="AX90" i="6"/>
  <c r="AX89" i="6"/>
  <c r="AX88" i="6"/>
  <c r="AX75" i="6"/>
  <c r="AX63" i="6"/>
  <c r="AX62" i="6"/>
  <c r="AW44" i="6"/>
  <c r="AW40" i="6"/>
  <c r="AW78" i="6"/>
  <c r="AW80" i="6"/>
  <c r="AW77" i="6"/>
  <c r="AW68" i="6"/>
  <c r="AW67" i="6" s="1"/>
  <c r="AW70" i="6"/>
  <c r="AW103" i="6"/>
  <c r="AW100" i="6"/>
  <c r="AW98" i="6"/>
  <c r="AW97" i="6"/>
  <c r="AW101" i="6" s="1"/>
  <c r="AW94" i="6"/>
  <c r="AW93" i="6"/>
  <c r="AW92" i="6"/>
  <c r="AW91" i="6"/>
  <c r="AW90" i="6"/>
  <c r="AW89" i="6"/>
  <c r="AW88" i="6"/>
  <c r="AW87" i="6"/>
  <c r="AX87" i="6" s="1"/>
  <c r="AW63" i="6"/>
  <c r="AW62" i="6"/>
  <c r="AV78" i="6"/>
  <c r="AV77" i="6"/>
  <c r="AV80" i="6"/>
  <c r="AV68" i="6"/>
  <c r="AV70" i="6"/>
  <c r="AV106" i="6"/>
  <c r="AW106" i="6" s="1"/>
  <c r="AV105" i="6"/>
  <c r="AW105" i="6" s="1"/>
  <c r="AX105" i="6" s="1"/>
  <c r="AV104" i="6"/>
  <c r="AW104" i="6" s="1"/>
  <c r="AX104" i="6" s="1"/>
  <c r="AV103" i="6"/>
  <c r="AV100" i="6"/>
  <c r="AV98" i="6"/>
  <c r="AV97" i="6"/>
  <c r="AV94" i="6"/>
  <c r="AV93" i="6"/>
  <c r="AV92" i="6"/>
  <c r="AV91" i="6"/>
  <c r="AV90" i="6"/>
  <c r="AV89" i="6"/>
  <c r="AV88" i="6"/>
  <c r="AV87" i="6"/>
  <c r="AV95" i="6" s="1"/>
  <c r="AV44" i="6"/>
  <c r="AV40" i="6"/>
  <c r="AV63" i="6"/>
  <c r="AV62" i="6"/>
  <c r="AU77" i="6"/>
  <c r="AU80" i="6"/>
  <c r="AU78" i="6"/>
  <c r="AU68" i="6"/>
  <c r="AU70" i="6"/>
  <c r="AU107" i="6"/>
  <c r="AU101" i="6"/>
  <c r="AU95" i="6"/>
  <c r="AU63" i="6"/>
  <c r="AU62" i="6"/>
  <c r="BB63" i="6"/>
  <c r="BB77" i="6"/>
  <c r="BB80" i="6"/>
  <c r="BB78" i="6"/>
  <c r="BB68" i="6"/>
  <c r="BB69" i="6"/>
  <c r="BB70" i="6"/>
  <c r="BB75" i="6"/>
  <c r="AZ109" i="6"/>
  <c r="BA109" i="6" s="1"/>
  <c r="AY107" i="6"/>
  <c r="BA89" i="6"/>
  <c r="BB89" i="6" s="1"/>
  <c r="BA88" i="6"/>
  <c r="BB88" i="6" s="1"/>
  <c r="BA87" i="6"/>
  <c r="BB87" i="6" s="1"/>
  <c r="BA77" i="6"/>
  <c r="BA80" i="6"/>
  <c r="BA78" i="6"/>
  <c r="BA71" i="6"/>
  <c r="BA70" i="6"/>
  <c r="BA68" i="6"/>
  <c r="BA67" i="6" s="1"/>
  <c r="BA63" i="6"/>
  <c r="AZ63" i="6"/>
  <c r="AZ77" i="6"/>
  <c r="AZ84" i="6" s="1"/>
  <c r="AZ80" i="6"/>
  <c r="AZ78" i="6"/>
  <c r="AZ68" i="6"/>
  <c r="AZ70" i="6"/>
  <c r="AZ71" i="6"/>
  <c r="AZ105" i="6"/>
  <c r="BA105" i="6" s="1"/>
  <c r="BB105" i="6" s="1"/>
  <c r="AZ104" i="6"/>
  <c r="BA104" i="6" s="1"/>
  <c r="BB104" i="6" s="1"/>
  <c r="AZ103" i="6"/>
  <c r="BA103" i="6" s="1"/>
  <c r="AZ106" i="6"/>
  <c r="BA106" i="6" s="1"/>
  <c r="AZ98" i="6"/>
  <c r="BA98" i="6" s="1"/>
  <c r="BB98" i="6" s="1"/>
  <c r="AZ97" i="6"/>
  <c r="BA97" i="6" s="1"/>
  <c r="AZ94" i="6"/>
  <c r="BA94" i="6" s="1"/>
  <c r="BB94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AZ88" i="6"/>
  <c r="AZ87" i="6"/>
  <c r="AY78" i="6"/>
  <c r="AY77" i="6"/>
  <c r="AY80" i="6"/>
  <c r="AY68" i="6"/>
  <c r="AY69" i="6"/>
  <c r="AY70" i="6"/>
  <c r="AY84" i="6"/>
  <c r="AY100" i="6"/>
  <c r="AY101" i="6" s="1"/>
  <c r="AY95" i="6"/>
  <c r="AU44" i="6"/>
  <c r="AU40" i="6"/>
  <c r="AY63" i="6"/>
  <c r="CW49" i="6"/>
  <c r="CV49" i="6"/>
  <c r="CU49" i="6"/>
  <c r="CW46" i="6"/>
  <c r="CV46" i="6"/>
  <c r="CU46" i="6"/>
  <c r="CU39" i="6"/>
  <c r="CU38" i="6"/>
  <c r="CU37" i="6"/>
  <c r="CU36" i="6"/>
  <c r="CV39" i="6"/>
  <c r="CV38" i="6"/>
  <c r="CV37" i="6"/>
  <c r="CV36" i="6"/>
  <c r="BF77" i="6"/>
  <c r="BF78" i="6"/>
  <c r="BF80" i="6"/>
  <c r="BF79" i="6"/>
  <c r="BF84" i="6"/>
  <c r="BF69" i="6"/>
  <c r="BF70" i="6"/>
  <c r="BF68" i="6"/>
  <c r="BD109" i="6"/>
  <c r="BE109" i="6" s="1"/>
  <c r="BF109" i="6" s="1"/>
  <c r="BF99" i="6"/>
  <c r="BF63" i="6"/>
  <c r="BE80" i="6"/>
  <c r="BE78" i="6"/>
  <c r="BE77" i="6"/>
  <c r="BE68" i="6"/>
  <c r="BE70" i="6"/>
  <c r="BD70" i="6"/>
  <c r="BE69" i="6"/>
  <c r="BE63" i="6"/>
  <c r="AS95" i="6" l="1"/>
  <c r="AT87" i="6"/>
  <c r="AT95" i="6" s="1"/>
  <c r="AT47" i="6"/>
  <c r="AT59" i="6"/>
  <c r="AQ58" i="6"/>
  <c r="AQ57" i="6"/>
  <c r="AQ35" i="6"/>
  <c r="AQ56" i="6" s="1"/>
  <c r="AT97" i="6"/>
  <c r="AT103" i="6"/>
  <c r="AT107" i="6" s="1"/>
  <c r="AS107" i="6"/>
  <c r="AQ110" i="6"/>
  <c r="AY67" i="6"/>
  <c r="BA84" i="6"/>
  <c r="AY110" i="6"/>
  <c r="AQ51" i="6"/>
  <c r="AV107" i="6"/>
  <c r="BA75" i="6"/>
  <c r="AV67" i="6"/>
  <c r="AR75" i="6"/>
  <c r="AV101" i="6"/>
  <c r="BQ75" i="6"/>
  <c r="AR100" i="6"/>
  <c r="BB84" i="6"/>
  <c r="AU110" i="6"/>
  <c r="BQ84" i="6"/>
  <c r="BT20" i="6"/>
  <c r="AT84" i="6"/>
  <c r="AT109" i="6"/>
  <c r="AS84" i="6"/>
  <c r="AS75" i="6"/>
  <c r="AR84" i="6"/>
  <c r="AR67" i="6"/>
  <c r="AR95" i="6"/>
  <c r="AQ75" i="6"/>
  <c r="AX84" i="6"/>
  <c r="AX107" i="6"/>
  <c r="AX101" i="6"/>
  <c r="AX95" i="6"/>
  <c r="AW84" i="6"/>
  <c r="AW75" i="6"/>
  <c r="AW107" i="6"/>
  <c r="AW95" i="6"/>
  <c r="AV84" i="6"/>
  <c r="AV75" i="6"/>
  <c r="BB97" i="6"/>
  <c r="BA107" i="6"/>
  <c r="BB103" i="6"/>
  <c r="BB107" i="6" s="1"/>
  <c r="AZ100" i="6"/>
  <c r="BA100" i="6" s="1"/>
  <c r="BB100" i="6" s="1"/>
  <c r="AZ107" i="6"/>
  <c r="AZ75" i="6"/>
  <c r="BB109" i="6"/>
  <c r="AU84" i="6"/>
  <c r="AU67" i="6"/>
  <c r="AU75" i="6"/>
  <c r="BB67" i="6"/>
  <c r="BB95" i="6"/>
  <c r="BA95" i="6"/>
  <c r="AZ67" i="6"/>
  <c r="AZ95" i="6"/>
  <c r="AY75" i="6"/>
  <c r="BE84" i="6"/>
  <c r="AT48" i="6" l="1"/>
  <c r="AT86" i="6"/>
  <c r="AZ101" i="6"/>
  <c r="AS100" i="6"/>
  <c r="AR101" i="6"/>
  <c r="AR110" i="6" s="1"/>
  <c r="AV110" i="6"/>
  <c r="AQ41" i="6"/>
  <c r="AQ45" i="6" s="1"/>
  <c r="AQ59" i="6"/>
  <c r="AQ47" i="6"/>
  <c r="AX110" i="6"/>
  <c r="AW110" i="6"/>
  <c r="AZ110" i="6"/>
  <c r="BB101" i="6"/>
  <c r="BB110" i="6" s="1"/>
  <c r="BA101" i="6"/>
  <c r="BA110" i="6" s="1"/>
  <c r="BD77" i="6"/>
  <c r="BD80" i="6"/>
  <c r="BD78" i="6"/>
  <c r="BD84" i="6"/>
  <c r="BD69" i="6"/>
  <c r="BD68" i="6"/>
  <c r="BD106" i="6"/>
  <c r="BE106" i="6" s="1"/>
  <c r="BF106" i="6" s="1"/>
  <c r="BD105" i="6"/>
  <c r="BE105" i="6" s="1"/>
  <c r="BF105" i="6" s="1"/>
  <c r="BD104" i="6"/>
  <c r="BE104" i="6" s="1"/>
  <c r="BF104" i="6" s="1"/>
  <c r="BD103" i="6"/>
  <c r="BE103" i="6" s="1"/>
  <c r="BF103" i="6" s="1"/>
  <c r="BD98" i="6"/>
  <c r="BE98" i="6" s="1"/>
  <c r="BF98" i="6" s="1"/>
  <c r="BD97" i="6"/>
  <c r="BE97" i="6" s="1"/>
  <c r="BF97" i="6" s="1"/>
  <c r="BD94" i="6"/>
  <c r="BE94" i="6" s="1"/>
  <c r="BF94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D63" i="6"/>
  <c r="BC107" i="6"/>
  <c r="BC100" i="6"/>
  <c r="BC101" i="6" s="1"/>
  <c r="BC95" i="6"/>
  <c r="BC78" i="6"/>
  <c r="BC77" i="6"/>
  <c r="BC80" i="6"/>
  <c r="BC84" i="6"/>
  <c r="BC71" i="6"/>
  <c r="BC68" i="6"/>
  <c r="BC70" i="6"/>
  <c r="BF75" i="6"/>
  <c r="BE75" i="6"/>
  <c r="BF67" i="6"/>
  <c r="BE67" i="6"/>
  <c r="BC63" i="6"/>
  <c r="CX12" i="6"/>
  <c r="CW44" i="6"/>
  <c r="CW39" i="6"/>
  <c r="CW38" i="6"/>
  <c r="CW37" i="6"/>
  <c r="CW36" i="6"/>
  <c r="BJ77" i="6"/>
  <c r="BJ80" i="6"/>
  <c r="BJ79" i="6"/>
  <c r="BJ78" i="6"/>
  <c r="BJ69" i="6"/>
  <c r="BJ70" i="6"/>
  <c r="BJ68" i="6"/>
  <c r="BH109" i="6"/>
  <c r="BI109" i="6" s="1"/>
  <c r="BJ99" i="6"/>
  <c r="BJ63" i="6"/>
  <c r="BI63" i="6"/>
  <c r="BH106" i="6"/>
  <c r="BJ106" i="6" s="1"/>
  <c r="BH104" i="6"/>
  <c r="BI104" i="6" s="1"/>
  <c r="BJ104" i="6" s="1"/>
  <c r="BH103" i="6"/>
  <c r="BI103" i="6" s="1"/>
  <c r="BH98" i="6"/>
  <c r="BI98" i="6" s="1"/>
  <c r="BJ98" i="6" s="1"/>
  <c r="BH97" i="6"/>
  <c r="BI97" i="6" s="1"/>
  <c r="BJ97" i="6" s="1"/>
  <c r="BH94" i="6"/>
  <c r="BI94" i="6" s="1"/>
  <c r="BJ94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H95" i="6" s="1"/>
  <c r="BH80" i="6"/>
  <c r="BH79" i="6"/>
  <c r="BH78" i="6"/>
  <c r="BH77" i="6"/>
  <c r="BH70" i="6"/>
  <c r="BH68" i="6"/>
  <c r="BH69" i="6"/>
  <c r="BH63" i="6"/>
  <c r="BG105" i="6"/>
  <c r="BH105" i="6" s="1"/>
  <c r="BG100" i="6"/>
  <c r="BH100" i="6" s="1"/>
  <c r="BG95" i="6"/>
  <c r="BG77" i="6"/>
  <c r="BG80" i="6"/>
  <c r="BG79" i="6"/>
  <c r="BG78" i="6"/>
  <c r="BG69" i="6"/>
  <c r="BG68" i="6"/>
  <c r="BG70" i="6"/>
  <c r="BG63" i="6"/>
  <c r="BM77" i="6"/>
  <c r="BM80" i="6"/>
  <c r="BM79" i="6"/>
  <c r="BM78" i="6"/>
  <c r="BM70" i="6"/>
  <c r="BM69" i="6"/>
  <c r="BM68" i="6"/>
  <c r="BT16" i="6"/>
  <c r="BT15" i="6"/>
  <c r="BS26" i="6"/>
  <c r="BR25" i="6"/>
  <c r="BS23" i="6"/>
  <c r="BT23" i="6"/>
  <c r="BT21" i="6"/>
  <c r="BT17" i="6"/>
  <c r="BP53" i="6"/>
  <c r="BO11" i="6"/>
  <c r="BO13" i="6" s="1"/>
  <c r="BS13" i="6" s="1"/>
  <c r="BP63" i="6"/>
  <c r="BP44" i="6"/>
  <c r="BO95" i="6"/>
  <c r="BP106" i="6"/>
  <c r="BQ106" i="6" s="1"/>
  <c r="BP105" i="6"/>
  <c r="BQ105" i="6" s="1"/>
  <c r="BP104" i="6"/>
  <c r="BQ104" i="6" s="1"/>
  <c r="BP103" i="6"/>
  <c r="BP99" i="6"/>
  <c r="BQ99" i="6" s="1"/>
  <c r="BP98" i="6"/>
  <c r="BQ98" i="6" s="1"/>
  <c r="BP97" i="6"/>
  <c r="BQ97" i="6" s="1"/>
  <c r="BP94" i="6"/>
  <c r="BQ94" i="6" s="1"/>
  <c r="BP93" i="6"/>
  <c r="BQ93" i="6" s="1"/>
  <c r="BP92" i="6"/>
  <c r="BQ92" i="6" s="1"/>
  <c r="BP91" i="6"/>
  <c r="BQ91" i="6" s="1"/>
  <c r="BP90" i="6"/>
  <c r="BP88" i="6"/>
  <c r="BQ88" i="6" s="1"/>
  <c r="BP87" i="6"/>
  <c r="BQ87" i="6" s="1"/>
  <c r="BP80" i="6"/>
  <c r="BP79" i="6"/>
  <c r="BP78" i="6"/>
  <c r="BP77" i="6"/>
  <c r="BP69" i="6"/>
  <c r="BP70" i="6"/>
  <c r="BP68" i="6"/>
  <c r="BP75" i="6" s="1"/>
  <c r="BP29" i="6"/>
  <c r="BP28" i="6" s="1"/>
  <c r="BP11" i="6"/>
  <c r="BP13" i="6" s="1"/>
  <c r="BT13" i="6" s="1"/>
  <c r="BL109" i="6"/>
  <c r="BM109" i="6" s="1"/>
  <c r="BN109" i="6" s="1"/>
  <c r="BL106" i="6"/>
  <c r="BL105" i="6"/>
  <c r="BM105" i="6" s="1"/>
  <c r="BN105" i="6" s="1"/>
  <c r="BL104" i="6"/>
  <c r="BM104" i="6" s="1"/>
  <c r="BN104" i="6" s="1"/>
  <c r="BL103" i="6"/>
  <c r="BM103" i="6" s="1"/>
  <c r="BL98" i="6"/>
  <c r="BM98" i="6" s="1"/>
  <c r="BN98" i="6" s="1"/>
  <c r="BL97" i="6"/>
  <c r="BM97" i="6" s="1"/>
  <c r="BL94" i="6"/>
  <c r="BM94" i="6" s="1"/>
  <c r="BN94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L78" i="6"/>
  <c r="BL79" i="6"/>
  <c r="BL80" i="6"/>
  <c r="BL77" i="6"/>
  <c r="BL69" i="6"/>
  <c r="BL70" i="6"/>
  <c r="BL68" i="6"/>
  <c r="BR38" i="6"/>
  <c r="BR37" i="6"/>
  <c r="CX37" i="6"/>
  <c r="CY37" i="6" s="1"/>
  <c r="BR36" i="6"/>
  <c r="CX36" i="6"/>
  <c r="CY36" i="6" s="1"/>
  <c r="BV15" i="6"/>
  <c r="BU15" i="6"/>
  <c r="BV16" i="6"/>
  <c r="BU16" i="6"/>
  <c r="BV23" i="6"/>
  <c r="BU23" i="6"/>
  <c r="BV20" i="6"/>
  <c r="CX20" i="6"/>
  <c r="BV17" i="6"/>
  <c r="BU17" i="6"/>
  <c r="BK80" i="6"/>
  <c r="BK79" i="6"/>
  <c r="BK78" i="6"/>
  <c r="BK77" i="6"/>
  <c r="BK68" i="6"/>
  <c r="BK70" i="6"/>
  <c r="BK69" i="6"/>
  <c r="CU65" i="6"/>
  <c r="CV65" i="6"/>
  <c r="CW65" i="6"/>
  <c r="CV40" i="6"/>
  <c r="CV41" i="6" s="1"/>
  <c r="CU40" i="6"/>
  <c r="CT40" i="6"/>
  <c r="CT41" i="6" s="1"/>
  <c r="CT45" i="6" s="1"/>
  <c r="CT47" i="6" s="1"/>
  <c r="CS40" i="6"/>
  <c r="CS41" i="6" s="1"/>
  <c r="CS45" i="6" s="1"/>
  <c r="CS47" i="6" s="1"/>
  <c r="CB40" i="6"/>
  <c r="CS34" i="6"/>
  <c r="BN77" i="6"/>
  <c r="BN80" i="6"/>
  <c r="BN79" i="6"/>
  <c r="BN78" i="6"/>
  <c r="BO78" i="6"/>
  <c r="BO77" i="6"/>
  <c r="BO80" i="6"/>
  <c r="BO79" i="6"/>
  <c r="BN71" i="6"/>
  <c r="BN70" i="6"/>
  <c r="BN68" i="6"/>
  <c r="BO69" i="6"/>
  <c r="BO70" i="6"/>
  <c r="BO68" i="6"/>
  <c r="BK107" i="6"/>
  <c r="BO107" i="6"/>
  <c r="BK100" i="6"/>
  <c r="BK101" i="6" s="1"/>
  <c r="BO100" i="6"/>
  <c r="BO101" i="6" s="1"/>
  <c r="BK95" i="6"/>
  <c r="BN63" i="6"/>
  <c r="BM63" i="6"/>
  <c r="BL63" i="6"/>
  <c r="BK63" i="6"/>
  <c r="BO54" i="6"/>
  <c r="BO53" i="6"/>
  <c r="CX10" i="6"/>
  <c r="CX9" i="6"/>
  <c r="CX8" i="6"/>
  <c r="CX6" i="6"/>
  <c r="CX5" i="6"/>
  <c r="CX4" i="6"/>
  <c r="CX3" i="6"/>
  <c r="CX31" i="6"/>
  <c r="CX30" i="6"/>
  <c r="CX24" i="6"/>
  <c r="CX22" i="6"/>
  <c r="CX32" i="6"/>
  <c r="BO63" i="6"/>
  <c r="BO40" i="6"/>
  <c r="BO41" i="6" s="1"/>
  <c r="BO45" i="6" s="1"/>
  <c r="BO47" i="6" s="1"/>
  <c r="BO29" i="6"/>
  <c r="BO28" i="6" s="1"/>
  <c r="BN29" i="6"/>
  <c r="BN28" i="6"/>
  <c r="BM29" i="6"/>
  <c r="BM28" i="6"/>
  <c r="BL28" i="6"/>
  <c r="BL29" i="6"/>
  <c r="AR10" i="6"/>
  <c r="AR6" i="6"/>
  <c r="AR11" i="6" s="1"/>
  <c r="AR13" i="6" s="1"/>
  <c r="AS29" i="6"/>
  <c r="AS6" i="6"/>
  <c r="AS4" i="6"/>
  <c r="AS10" i="6"/>
  <c r="AT29" i="6"/>
  <c r="AT11" i="6"/>
  <c r="AT13" i="6" s="1"/>
  <c r="AT33" i="6" s="1"/>
  <c r="AU29" i="6"/>
  <c r="AU11" i="6"/>
  <c r="AU13" i="6" s="1"/>
  <c r="AU55" i="6" s="1"/>
  <c r="AV29" i="6"/>
  <c r="AV11" i="6"/>
  <c r="AV13" i="6" s="1"/>
  <c r="AV55" i="6" s="1"/>
  <c r="BA54" i="6"/>
  <c r="BA53" i="6"/>
  <c r="AW29" i="6"/>
  <c r="AW11" i="6"/>
  <c r="AW13" i="6" s="1"/>
  <c r="BK53" i="6"/>
  <c r="CW10" i="6"/>
  <c r="CW8" i="6"/>
  <c r="CW5" i="6"/>
  <c r="BM11" i="6"/>
  <c r="BU11" i="6" s="1"/>
  <c r="CW4" i="6"/>
  <c r="CV32" i="6"/>
  <c r="CU32" i="6"/>
  <c r="CT32" i="6"/>
  <c r="CW31" i="6"/>
  <c r="CV31" i="6"/>
  <c r="CU31" i="6"/>
  <c r="CT31" i="6"/>
  <c r="CW30" i="6"/>
  <c r="CV30" i="6"/>
  <c r="CU30" i="6"/>
  <c r="CT30" i="6"/>
  <c r="CV27" i="6"/>
  <c r="CU27" i="6"/>
  <c r="CT27" i="6"/>
  <c r="CV26" i="6"/>
  <c r="CU26" i="6"/>
  <c r="CT26" i="6"/>
  <c r="CV25" i="6"/>
  <c r="CU25" i="6"/>
  <c r="CT25" i="6"/>
  <c r="CV23" i="6"/>
  <c r="CU23" i="6"/>
  <c r="CT23" i="6"/>
  <c r="CV21" i="6"/>
  <c r="CU21" i="6"/>
  <c r="CT21" i="6"/>
  <c r="CV20" i="6"/>
  <c r="CU20" i="6"/>
  <c r="CT20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9" i="6"/>
  <c r="BK28" i="6"/>
  <c r="BJ28" i="6"/>
  <c r="BK11" i="6"/>
  <c r="BK13" i="6" s="1"/>
  <c r="BJ53" i="6"/>
  <c r="BJ29" i="6"/>
  <c r="BJ11" i="6"/>
  <c r="BJ13" i="6" s="1"/>
  <c r="BI82" i="6"/>
  <c r="BI79" i="6"/>
  <c r="BI78" i="6"/>
  <c r="BI77" i="6"/>
  <c r="BI68" i="6"/>
  <c r="BI70" i="6"/>
  <c r="BI69" i="6"/>
  <c r="BI44" i="6"/>
  <c r="BI54" i="6"/>
  <c r="BI53" i="6"/>
  <c r="BI29" i="6"/>
  <c r="BI28" i="6"/>
  <c r="BI11" i="6"/>
  <c r="BI13" i="6" s="1"/>
  <c r="AL33" i="6"/>
  <c r="AK33" i="6"/>
  <c r="AJ33" i="6"/>
  <c r="AI33" i="6"/>
  <c r="AH33" i="6"/>
  <c r="AG33" i="6"/>
  <c r="AF33" i="6"/>
  <c r="AE33" i="6"/>
  <c r="AD33" i="6"/>
  <c r="AC33" i="6"/>
  <c r="CP35" i="6"/>
  <c r="CP44" i="6"/>
  <c r="CO44" i="6"/>
  <c r="CN44" i="6"/>
  <c r="CP40" i="6"/>
  <c r="CO40" i="6"/>
  <c r="CN40" i="6"/>
  <c r="CN35" i="6"/>
  <c r="CO35" i="6"/>
  <c r="CS51" i="6"/>
  <c r="CR51" i="6"/>
  <c r="CQ51" i="6"/>
  <c r="CP51" i="6"/>
  <c r="CO51" i="6"/>
  <c r="CN51" i="6"/>
  <c r="CL40" i="6"/>
  <c r="CK40" i="6"/>
  <c r="CL44" i="6"/>
  <c r="CK44" i="6"/>
  <c r="CJ44" i="6"/>
  <c r="CS56" i="6"/>
  <c r="CR56" i="6"/>
  <c r="CQ56" i="6"/>
  <c r="CK33" i="6"/>
  <c r="CK35" i="6" s="1"/>
  <c r="CL33" i="6"/>
  <c r="CM51" i="6" s="1"/>
  <c r="CH32" i="6"/>
  <c r="CH31" i="6"/>
  <c r="CH30" i="6"/>
  <c r="CH25" i="6"/>
  <c r="CH23" i="6"/>
  <c r="CH19" i="6"/>
  <c r="CH12" i="6"/>
  <c r="CH11" i="6"/>
  <c r="CI15" i="6"/>
  <c r="CJ31" i="6"/>
  <c r="CJ23" i="6"/>
  <c r="CJ19" i="6"/>
  <c r="CJ12" i="6"/>
  <c r="CJ15" i="6"/>
  <c r="BB54" i="6"/>
  <c r="BB53" i="6"/>
  <c r="AX40" i="6"/>
  <c r="AX41" i="6" s="1"/>
  <c r="AX45" i="6" s="1"/>
  <c r="AX29" i="6"/>
  <c r="AX11" i="6"/>
  <c r="AX13" i="6" s="1"/>
  <c r="BB40" i="6"/>
  <c r="BB41" i="6" s="1"/>
  <c r="BB45" i="6" s="1"/>
  <c r="BB47" i="6" s="1"/>
  <c r="BA40" i="6"/>
  <c r="BA41" i="6" s="1"/>
  <c r="BA45" i="6" s="1"/>
  <c r="BA47" i="6" s="1"/>
  <c r="AZ40" i="6"/>
  <c r="AZ41" i="6" s="1"/>
  <c r="AZ45" i="6" s="1"/>
  <c r="AZ47" i="6" s="1"/>
  <c r="AY40" i="6"/>
  <c r="AY41" i="6" s="1"/>
  <c r="AY45" i="6" s="1"/>
  <c r="AY47" i="6" s="1"/>
  <c r="BH40" i="6"/>
  <c r="BG40" i="6"/>
  <c r="BG41" i="6" s="1"/>
  <c r="BG45" i="6" s="1"/>
  <c r="BG47" i="6" s="1"/>
  <c r="BG48" i="6" s="1"/>
  <c r="BF40" i="6"/>
  <c r="BF41" i="6" s="1"/>
  <c r="BF45" i="6" s="1"/>
  <c r="BE40" i="6"/>
  <c r="BE41" i="6" s="1"/>
  <c r="BE45" i="6" s="1"/>
  <c r="BE59" i="6" s="1"/>
  <c r="BD40" i="6"/>
  <c r="BC40" i="6"/>
  <c r="BC41" i="6" s="1"/>
  <c r="BC54" i="6"/>
  <c r="BC53" i="6"/>
  <c r="BH44" i="6"/>
  <c r="CV44" i="6" s="1"/>
  <c r="BH29" i="6"/>
  <c r="BH28" i="6"/>
  <c r="BH11" i="6"/>
  <c r="BH13" i="6" s="1"/>
  <c r="BG53" i="6"/>
  <c r="BF53" i="6"/>
  <c r="BE53" i="6"/>
  <c r="BD53" i="6"/>
  <c r="BH53" i="6"/>
  <c r="CW27" i="6"/>
  <c r="CW26" i="6"/>
  <c r="BL53" i="6"/>
  <c r="BN53" i="6"/>
  <c r="BH54" i="6"/>
  <c r="AY29" i="6"/>
  <c r="AY28" i="6"/>
  <c r="AY11" i="6"/>
  <c r="AY13" i="6" s="1"/>
  <c r="AZ28" i="6"/>
  <c r="AZ29" i="6"/>
  <c r="AZ11" i="6"/>
  <c r="AZ13" i="6" s="1"/>
  <c r="BA28" i="6"/>
  <c r="BA29" i="6"/>
  <c r="BA11" i="6"/>
  <c r="BA13" i="6" s="1"/>
  <c r="BB28" i="6"/>
  <c r="BB29" i="6"/>
  <c r="BB11" i="6"/>
  <c r="BB13" i="6" s="1"/>
  <c r="BD54" i="6"/>
  <c r="BE54" i="6"/>
  <c r="BF54" i="6"/>
  <c r="BD44" i="6"/>
  <c r="CU44" i="6" s="1"/>
  <c r="BC11" i="6"/>
  <c r="BC13" i="6" s="1"/>
  <c r="BD29" i="6"/>
  <c r="BD28" i="6"/>
  <c r="BD11" i="6"/>
  <c r="BD13" i="6" s="1"/>
  <c r="BE29" i="6"/>
  <c r="BE28" i="6"/>
  <c r="BE11" i="6"/>
  <c r="BE13" i="6" s="1"/>
  <c r="BG11" i="6"/>
  <c r="BG13" i="6" s="1"/>
  <c r="BF11" i="6"/>
  <c r="BF13" i="6" s="1"/>
  <c r="BF29" i="6"/>
  <c r="BF28" i="6"/>
  <c r="CR40" i="6"/>
  <c r="CR41" i="6" s="1"/>
  <c r="CQ40" i="6"/>
  <c r="CQ41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DE2" i="6" s="1"/>
  <c r="DF2" i="6" s="1"/>
  <c r="DG2" i="6" s="1"/>
  <c r="DH2" i="6" s="1"/>
  <c r="DI2" i="6" s="1"/>
  <c r="BG54" i="6"/>
  <c r="BG29" i="6"/>
  <c r="BC29" i="6"/>
  <c r="BC28" i="6"/>
  <c r="BG28" i="6"/>
  <c r="AB40" i="6"/>
  <c r="AB41" i="6" s="1"/>
  <c r="AB45" i="6" s="1"/>
  <c r="CY16" i="6" l="1"/>
  <c r="CZ16" i="6" s="1"/>
  <c r="DA16" i="6" s="1"/>
  <c r="DB16" i="6" s="1"/>
  <c r="DC16" i="6" s="1"/>
  <c r="DD16" i="6" s="1"/>
  <c r="DE16" i="6" s="1"/>
  <c r="DF16" i="6" s="1"/>
  <c r="DG16" i="6" s="1"/>
  <c r="DH16" i="6" s="1"/>
  <c r="DI16" i="6" s="1"/>
  <c r="BC75" i="6"/>
  <c r="BD33" i="6"/>
  <c r="BD57" i="6" s="1"/>
  <c r="BT26" i="6"/>
  <c r="BU26" i="6" s="1"/>
  <c r="BV26" i="6" s="1"/>
  <c r="CY26" i="6"/>
  <c r="CZ26" i="6" s="1"/>
  <c r="DA26" i="6" s="1"/>
  <c r="DB26" i="6" s="1"/>
  <c r="DC26" i="6" s="1"/>
  <c r="DD26" i="6" s="1"/>
  <c r="DE26" i="6" s="1"/>
  <c r="DF26" i="6" s="1"/>
  <c r="DG26" i="6" s="1"/>
  <c r="DH26" i="6" s="1"/>
  <c r="DI26" i="6" s="1"/>
  <c r="AT58" i="6"/>
  <c r="AT56" i="6"/>
  <c r="AT34" i="6"/>
  <c r="AT51" i="6"/>
  <c r="AT57" i="6"/>
  <c r="BJ75" i="6"/>
  <c r="CY15" i="6"/>
  <c r="CZ15" i="6" s="1"/>
  <c r="DA15" i="6" s="1"/>
  <c r="DB15" i="6" s="1"/>
  <c r="DC15" i="6" s="1"/>
  <c r="DD15" i="6" s="1"/>
  <c r="DE15" i="6" s="1"/>
  <c r="DF15" i="6" s="1"/>
  <c r="DG15" i="6" s="1"/>
  <c r="DH15" i="6" s="1"/>
  <c r="DI15" i="6" s="1"/>
  <c r="BG107" i="6"/>
  <c r="BG110" i="6" s="1"/>
  <c r="BD100" i="6"/>
  <c r="BE100" i="6" s="1"/>
  <c r="BF100" i="6" s="1"/>
  <c r="BF101" i="6" s="1"/>
  <c r="AZ55" i="6"/>
  <c r="AX55" i="6"/>
  <c r="BF107" i="6"/>
  <c r="BF110" i="6" s="1"/>
  <c r="AT100" i="6"/>
  <c r="AT101" i="6" s="1"/>
  <c r="AT110" i="6" s="1"/>
  <c r="AS101" i="6"/>
  <c r="AS110" i="6" s="1"/>
  <c r="BP89" i="6"/>
  <c r="BQ89" i="6" s="1"/>
  <c r="BQ95" i="6" s="1"/>
  <c r="BQ90" i="6"/>
  <c r="BP107" i="6"/>
  <c r="BQ103" i="6"/>
  <c r="BQ107" i="6" s="1"/>
  <c r="AY33" i="6"/>
  <c r="AY58" i="6" s="1"/>
  <c r="AY55" i="6"/>
  <c r="CY23" i="6"/>
  <c r="CZ23" i="6" s="1"/>
  <c r="DA23" i="6" s="1"/>
  <c r="DB23" i="6" s="1"/>
  <c r="DC23" i="6" s="1"/>
  <c r="DD23" i="6" s="1"/>
  <c r="DE23" i="6" s="1"/>
  <c r="DF23" i="6" s="1"/>
  <c r="DG23" i="6" s="1"/>
  <c r="DH23" i="6" s="1"/>
  <c r="DI23" i="6" s="1"/>
  <c r="BD67" i="6"/>
  <c r="CX25" i="6"/>
  <c r="AQ86" i="6"/>
  <c r="AQ48" i="6"/>
  <c r="CU53" i="6"/>
  <c r="BG75" i="6"/>
  <c r="BG84" i="6"/>
  <c r="BA48" i="6"/>
  <c r="BA86" i="6"/>
  <c r="BI87" i="6"/>
  <c r="BJ87" i="6" s="1"/>
  <c r="BJ95" i="6" s="1"/>
  <c r="BD107" i="6"/>
  <c r="BE107" i="6"/>
  <c r="CZ36" i="6"/>
  <c r="CV45" i="6"/>
  <c r="CV47" i="6" s="1"/>
  <c r="CV48" i="6" s="1"/>
  <c r="BE95" i="6"/>
  <c r="BF87" i="6"/>
  <c r="BF95" i="6" s="1"/>
  <c r="BR49" i="6"/>
  <c r="CX49" i="6"/>
  <c r="CY49" i="6" s="1"/>
  <c r="CZ49" i="6" s="1"/>
  <c r="DA49" i="6" s="1"/>
  <c r="DB49" i="6" s="1"/>
  <c r="DC49" i="6" s="1"/>
  <c r="DD49" i="6" s="1"/>
  <c r="CV53" i="6"/>
  <c r="BB48" i="6"/>
  <c r="BB86" i="6"/>
  <c r="BC67" i="6"/>
  <c r="BH75" i="6"/>
  <c r="BM67" i="6"/>
  <c r="BD95" i="6"/>
  <c r="AZ48" i="6"/>
  <c r="AZ86" i="6"/>
  <c r="BD75" i="6"/>
  <c r="AY48" i="6"/>
  <c r="AY86" i="6"/>
  <c r="CX38" i="6"/>
  <c r="CY38" i="6" s="1"/>
  <c r="CZ38" i="6" s="1"/>
  <c r="DA38" i="6" s="1"/>
  <c r="DB38" i="6" s="1"/>
  <c r="DC38" i="6" s="1"/>
  <c r="DD38" i="6" s="1"/>
  <c r="DE38" i="6" s="1"/>
  <c r="DF38" i="6" s="1"/>
  <c r="DG38" i="6" s="1"/>
  <c r="DH38" i="6" s="1"/>
  <c r="DI38" i="6" s="1"/>
  <c r="BC110" i="6"/>
  <c r="BG101" i="6"/>
  <c r="BN75" i="6"/>
  <c r="BK84" i="6"/>
  <c r="BG67" i="6"/>
  <c r="CS59" i="6"/>
  <c r="BJ103" i="6"/>
  <c r="BH101" i="6"/>
  <c r="BI100" i="6"/>
  <c r="BJ100" i="6" s="1"/>
  <c r="BJ101" i="6" s="1"/>
  <c r="BH107" i="6"/>
  <c r="BH110" i="6" s="1"/>
  <c r="BI105" i="6"/>
  <c r="BJ105" i="6" s="1"/>
  <c r="BI101" i="6"/>
  <c r="CT59" i="6"/>
  <c r="BI95" i="6"/>
  <c r="BG86" i="6"/>
  <c r="BH67" i="6"/>
  <c r="BJ109" i="6"/>
  <c r="BS11" i="6"/>
  <c r="BT11" i="6"/>
  <c r="BH84" i="6"/>
  <c r="BP67" i="6"/>
  <c r="BJ84" i="6"/>
  <c r="BN103" i="6"/>
  <c r="BN107" i="6" s="1"/>
  <c r="BM107" i="6"/>
  <c r="CX27" i="6"/>
  <c r="BS27" i="6"/>
  <c r="BN97" i="6"/>
  <c r="BN87" i="6"/>
  <c r="BN95" i="6" s="1"/>
  <c r="BM95" i="6"/>
  <c r="BM75" i="6"/>
  <c r="BU20" i="6"/>
  <c r="CY20" i="6" s="1"/>
  <c r="CZ20" i="6" s="1"/>
  <c r="DA20" i="6" s="1"/>
  <c r="DB20" i="6" s="1"/>
  <c r="DC20" i="6" s="1"/>
  <c r="DD20" i="6" s="1"/>
  <c r="DE20" i="6" s="1"/>
  <c r="DF20" i="6" s="1"/>
  <c r="DG20" i="6" s="1"/>
  <c r="DH20" i="6" s="1"/>
  <c r="DI20" i="6" s="1"/>
  <c r="BO84" i="6"/>
  <c r="BP100" i="6"/>
  <c r="BV21" i="6"/>
  <c r="CY21" i="6" s="1"/>
  <c r="CZ21" i="6" s="1"/>
  <c r="DA21" i="6" s="1"/>
  <c r="DB21" i="6" s="1"/>
  <c r="DC21" i="6" s="1"/>
  <c r="DD21" i="6" s="1"/>
  <c r="DE21" i="6" s="1"/>
  <c r="DF21" i="6" s="1"/>
  <c r="DG21" i="6" s="1"/>
  <c r="DH21" i="6" s="1"/>
  <c r="DI21" i="6" s="1"/>
  <c r="BU21" i="6"/>
  <c r="BM84" i="6"/>
  <c r="BS25" i="6"/>
  <c r="CX26" i="6"/>
  <c r="BP33" i="6"/>
  <c r="BP35" i="6" s="1"/>
  <c r="BL95" i="6"/>
  <c r="BL107" i="6"/>
  <c r="BJ33" i="6"/>
  <c r="BP84" i="6"/>
  <c r="BS28" i="6"/>
  <c r="BI84" i="6"/>
  <c r="CW40" i="6"/>
  <c r="BL67" i="6"/>
  <c r="CX23" i="6"/>
  <c r="CX21" i="6"/>
  <c r="BK75" i="6"/>
  <c r="CX16" i="6"/>
  <c r="BP54" i="6"/>
  <c r="BO110" i="6"/>
  <c r="BN84" i="6"/>
  <c r="BQ54" i="6"/>
  <c r="CX15" i="6"/>
  <c r="BP40" i="6"/>
  <c r="BL84" i="6"/>
  <c r="CV29" i="6"/>
  <c r="BL75" i="6"/>
  <c r="BL100" i="6"/>
  <c r="BO67" i="6"/>
  <c r="BO75" i="6"/>
  <c r="BK110" i="6"/>
  <c r="AW33" i="6"/>
  <c r="BA55" i="6"/>
  <c r="BO33" i="6"/>
  <c r="BO55" i="6"/>
  <c r="BQ53" i="6"/>
  <c r="BR54" i="6"/>
  <c r="BO48" i="6"/>
  <c r="BO86" i="6"/>
  <c r="BO59" i="6"/>
  <c r="CX17" i="6"/>
  <c r="BK67" i="6"/>
  <c r="BN67" i="6"/>
  <c r="BJ67" i="6"/>
  <c r="AS11" i="6"/>
  <c r="AS13" i="6" s="1"/>
  <c r="AS33" i="6" s="1"/>
  <c r="AU33" i="6"/>
  <c r="AV33" i="6"/>
  <c r="CW12" i="6"/>
  <c r="CW25" i="6"/>
  <c r="AX33" i="6"/>
  <c r="CH33" i="6"/>
  <c r="CW16" i="6"/>
  <c r="BI75" i="6"/>
  <c r="BK33" i="6"/>
  <c r="BK34" i="6" s="1"/>
  <c r="CV28" i="6"/>
  <c r="CW20" i="6"/>
  <c r="CT28" i="6"/>
  <c r="CT29" i="6"/>
  <c r="CP41" i="6"/>
  <c r="CP45" i="6" s="1"/>
  <c r="CP47" i="6" s="1"/>
  <c r="CV11" i="6"/>
  <c r="CU11" i="6"/>
  <c r="CU28" i="6"/>
  <c r="CW23" i="6"/>
  <c r="BN11" i="6"/>
  <c r="BM13" i="6"/>
  <c r="BU13" i="6" s="1"/>
  <c r="CW21" i="6"/>
  <c r="CW3" i="6"/>
  <c r="CT11" i="6"/>
  <c r="CT13" i="6" s="1"/>
  <c r="CW28" i="6"/>
  <c r="CK41" i="6"/>
  <c r="CW6" i="6"/>
  <c r="BL11" i="6"/>
  <c r="BL13" i="6" s="1"/>
  <c r="CU29" i="6"/>
  <c r="BI55" i="6"/>
  <c r="BI67" i="6"/>
  <c r="CW9" i="6"/>
  <c r="CL35" i="6"/>
  <c r="CL41" i="6" s="1"/>
  <c r="CL51" i="6"/>
  <c r="CP56" i="6"/>
  <c r="BB55" i="6"/>
  <c r="AZ59" i="6"/>
  <c r="BA33" i="6"/>
  <c r="AX59" i="6"/>
  <c r="AX47" i="6"/>
  <c r="BA59" i="6"/>
  <c r="BB59" i="6"/>
  <c r="BD58" i="6"/>
  <c r="AY59" i="6"/>
  <c r="BJ54" i="6"/>
  <c r="AZ33" i="6"/>
  <c r="BC45" i="6"/>
  <c r="BC47" i="6" s="1"/>
  <c r="BF59" i="6"/>
  <c r="BF47" i="6"/>
  <c r="BE47" i="6"/>
  <c r="BG59" i="6"/>
  <c r="BG33" i="6"/>
  <c r="BG58" i="6" s="1"/>
  <c r="BE33" i="6"/>
  <c r="BK54" i="6"/>
  <c r="BJ55" i="6"/>
  <c r="BB33" i="6"/>
  <c r="BH55" i="6"/>
  <c r="BF33" i="6"/>
  <c r="BG55" i="6"/>
  <c r="BN54" i="6"/>
  <c r="BC55" i="6"/>
  <c r="BD55" i="6"/>
  <c r="BC33" i="6"/>
  <c r="BC58" i="6" s="1"/>
  <c r="BE55" i="6"/>
  <c r="BF55" i="6"/>
  <c r="BD35" i="6"/>
  <c r="AB46" i="6"/>
  <c r="AB47" i="6" s="1"/>
  <c r="AB48" i="6" s="1"/>
  <c r="AB32" i="6"/>
  <c r="AB30" i="6"/>
  <c r="AB25" i="6"/>
  <c r="AB19" i="6"/>
  <c r="AB23" i="6"/>
  <c r="AB15" i="6"/>
  <c r="AB12" i="6"/>
  <c r="AB9" i="6"/>
  <c r="AB5" i="6"/>
  <c r="AB3" i="6"/>
  <c r="AA11" i="6"/>
  <c r="AA33" i="6" s="1"/>
  <c r="Z11" i="6"/>
  <c r="Y11" i="6"/>
  <c r="X11" i="6"/>
  <c r="W11" i="6"/>
  <c r="V11" i="6"/>
  <c r="U11" i="6"/>
  <c r="T11" i="6"/>
  <c r="S11" i="6"/>
  <c r="R11" i="6"/>
  <c r="Q11" i="6"/>
  <c r="P11" i="6"/>
  <c r="J19" i="6"/>
  <c r="CI19" i="6" s="1"/>
  <c r="O11" i="6"/>
  <c r="O33" i="6" s="1"/>
  <c r="O34" i="6" s="1"/>
  <c r="K11" i="6"/>
  <c r="L9" i="6"/>
  <c r="M9" i="6" s="1"/>
  <c r="N9" i="6" s="1"/>
  <c r="L5" i="6"/>
  <c r="M5" i="6" s="1"/>
  <c r="N5" i="6" s="1"/>
  <c r="L3" i="6"/>
  <c r="N30" i="6"/>
  <c r="CJ30" i="6" s="1"/>
  <c r="N25" i="6"/>
  <c r="CJ25" i="6" s="1"/>
  <c r="O47" i="6"/>
  <c r="O48" i="6" s="1"/>
  <c r="O44" i="6"/>
  <c r="O40" i="6"/>
  <c r="O41" i="6" s="1"/>
  <c r="L44" i="6"/>
  <c r="M44" i="6"/>
  <c r="N44" i="6" s="1"/>
  <c r="K32" i="6"/>
  <c r="CJ32" i="6" s="1"/>
  <c r="N38" i="6"/>
  <c r="N37" i="6"/>
  <c r="K40" i="6"/>
  <c r="K41" i="6" s="1"/>
  <c r="K45" i="6" s="1"/>
  <c r="J31" i="6"/>
  <c r="J30" i="6"/>
  <c r="CI30" i="6" s="1"/>
  <c r="J25" i="6"/>
  <c r="CI25" i="6" s="1"/>
  <c r="J23" i="6"/>
  <c r="CI23" i="6" s="1"/>
  <c r="J12" i="6"/>
  <c r="CI12" i="6" s="1"/>
  <c r="J11" i="6"/>
  <c r="CI11" i="6" s="1"/>
  <c r="CI38" i="6"/>
  <c r="CI37" i="6"/>
  <c r="CI36" i="6"/>
  <c r="J48" i="6"/>
  <c r="J40" i="6"/>
  <c r="J41" i="6" s="1"/>
  <c r="J45" i="6" s="1"/>
  <c r="J46" i="6" s="1"/>
  <c r="J59" i="6" s="1"/>
  <c r="I33" i="6"/>
  <c r="I34" i="6" s="1"/>
  <c r="H33" i="6"/>
  <c r="H56" i="6" s="1"/>
  <c r="G33" i="6"/>
  <c r="G56" i="6" s="1"/>
  <c r="F33" i="6"/>
  <c r="F34" i="6" s="1"/>
  <c r="E33" i="6"/>
  <c r="E56" i="6" s="1"/>
  <c r="D33" i="6"/>
  <c r="D56" i="6" s="1"/>
  <c r="C33" i="6"/>
  <c r="C37" i="6"/>
  <c r="C40" i="6" s="1"/>
  <c r="C41" i="6" s="1"/>
  <c r="C45" i="6" s="1"/>
  <c r="C46" i="6" s="1"/>
  <c r="C59" i="6" s="1"/>
  <c r="C48" i="6"/>
  <c r="E37" i="6"/>
  <c r="E40" i="6" s="1"/>
  <c r="E41" i="6" s="1"/>
  <c r="E45" i="6" s="1"/>
  <c r="E46" i="6" s="1"/>
  <c r="E59" i="6" s="1"/>
  <c r="D37" i="6"/>
  <c r="D40" i="6" s="1"/>
  <c r="D41" i="6" s="1"/>
  <c r="D45" i="6" s="1"/>
  <c r="D46" i="6" s="1"/>
  <c r="D59" i="6" s="1"/>
  <c r="D48" i="6"/>
  <c r="E48" i="6"/>
  <c r="F48" i="6"/>
  <c r="F40" i="6"/>
  <c r="F41" i="6" s="1"/>
  <c r="F45" i="6" s="1"/>
  <c r="F46" i="6" s="1"/>
  <c r="F59" i="6" s="1"/>
  <c r="G48" i="6"/>
  <c r="G40" i="6"/>
  <c r="G41" i="6" s="1"/>
  <c r="G45" i="6" s="1"/>
  <c r="G46" i="6" s="1"/>
  <c r="G59" i="6" s="1"/>
  <c r="H48" i="6"/>
  <c r="H40" i="6"/>
  <c r="H41" i="6" s="1"/>
  <c r="H45" i="6" s="1"/>
  <c r="H46" i="6" s="1"/>
  <c r="H59" i="6" s="1"/>
  <c r="I48" i="6"/>
  <c r="I40" i="6"/>
  <c r="I41" i="6" s="1"/>
  <c r="I45" i="6" s="1"/>
  <c r="I46" i="6" s="1"/>
  <c r="I59" i="6" s="1"/>
  <c r="J4" i="25"/>
  <c r="J7" i="25" s="1"/>
  <c r="CA40" i="6"/>
  <c r="CA44" i="6" s="1"/>
  <c r="CA46" i="6" s="1"/>
  <c r="BZ40" i="6"/>
  <c r="BZ44" i="6" s="1"/>
  <c r="BZ46" i="6" s="1"/>
  <c r="CB44" i="6"/>
  <c r="CB46" i="6" s="1"/>
  <c r="BY35" i="6"/>
  <c r="BY40" i="6" s="1"/>
  <c r="BY44" i="6" s="1"/>
  <c r="BY46" i="6" s="1"/>
  <c r="CC41" i="6"/>
  <c r="CC42" i="6"/>
  <c r="CC43" i="6"/>
  <c r="CD41" i="6"/>
  <c r="CD42" i="6"/>
  <c r="CD43" i="6"/>
  <c r="BZ34" i="6"/>
  <c r="CA34" i="6"/>
  <c r="CB34" i="6"/>
  <c r="BX35" i="6"/>
  <c r="BX40" i="6" s="1"/>
  <c r="BX44" i="6" s="1"/>
  <c r="BX46" i="6" s="1"/>
  <c r="CB51" i="6"/>
  <c r="CA51" i="6"/>
  <c r="BZ51" i="6"/>
  <c r="BY51" i="6"/>
  <c r="CC51" i="6"/>
  <c r="N36" i="6"/>
  <c r="M40" i="6"/>
  <c r="M41" i="6" s="1"/>
  <c r="N39" i="6"/>
  <c r="L40" i="6"/>
  <c r="L41" i="6" s="1"/>
  <c r="BT28" i="6" l="1"/>
  <c r="BU28" i="6" s="1"/>
  <c r="BV28" i="6" s="1"/>
  <c r="CZ17" i="6"/>
  <c r="CY53" i="6"/>
  <c r="AY51" i="6"/>
  <c r="AW55" i="6"/>
  <c r="BP95" i="6"/>
  <c r="BP101" i="6"/>
  <c r="BQ100" i="6"/>
  <c r="BQ101" i="6" s="1"/>
  <c r="BQ110" i="6" s="1"/>
  <c r="BT27" i="6"/>
  <c r="BU27" i="6" s="1"/>
  <c r="BV27" i="6" s="1"/>
  <c r="CY27" i="6"/>
  <c r="CZ27" i="6" s="1"/>
  <c r="DA27" i="6" s="1"/>
  <c r="DB27" i="6" s="1"/>
  <c r="DC27" i="6" s="1"/>
  <c r="DD27" i="6" s="1"/>
  <c r="DE27" i="6" s="1"/>
  <c r="DF27" i="6" s="1"/>
  <c r="DG27" i="6" s="1"/>
  <c r="DH27" i="6" s="1"/>
  <c r="DI27" i="6" s="1"/>
  <c r="AV58" i="6"/>
  <c r="AV57" i="6"/>
  <c r="AV35" i="6"/>
  <c r="AS35" i="6"/>
  <c r="AS51" i="6"/>
  <c r="AS58" i="6"/>
  <c r="AS57" i="6"/>
  <c r="AW35" i="6"/>
  <c r="AW58" i="6"/>
  <c r="AW57" i="6"/>
  <c r="BD101" i="6"/>
  <c r="BD110" i="6" s="1"/>
  <c r="BE101" i="6"/>
  <c r="BE110" i="6" s="1"/>
  <c r="DE49" i="6"/>
  <c r="AW51" i="6"/>
  <c r="CV59" i="6"/>
  <c r="DA36" i="6"/>
  <c r="BE48" i="6"/>
  <c r="BE86" i="6"/>
  <c r="AU58" i="6"/>
  <c r="AU51" i="6"/>
  <c r="AU57" i="6"/>
  <c r="AU35" i="6"/>
  <c r="AZ58" i="6"/>
  <c r="AZ51" i="6"/>
  <c r="CX28" i="6"/>
  <c r="AX48" i="6"/>
  <c r="AX86" i="6"/>
  <c r="AX58" i="6"/>
  <c r="AX51" i="6"/>
  <c r="BF48" i="6"/>
  <c r="BF86" i="6"/>
  <c r="BC48" i="6"/>
  <c r="BC86" i="6"/>
  <c r="BP110" i="6"/>
  <c r="CU13" i="6"/>
  <c r="CU33" i="6" s="1"/>
  <c r="CU55" i="6"/>
  <c r="BN13" i="6"/>
  <c r="BV13" i="6" s="1"/>
  <c r="CY13" i="6" s="1"/>
  <c r="CZ13" i="6" s="1"/>
  <c r="CV13" i="6"/>
  <c r="CV33" i="6" s="1"/>
  <c r="CV55" i="6"/>
  <c r="BR44" i="6"/>
  <c r="CX44" i="6" s="1"/>
  <c r="BJ107" i="6"/>
  <c r="BJ110" i="6" s="1"/>
  <c r="BQ40" i="6"/>
  <c r="BI107" i="6"/>
  <c r="BI110" i="6" s="1"/>
  <c r="BL101" i="6"/>
  <c r="BM100" i="6"/>
  <c r="BP41" i="6"/>
  <c r="BP45" i="6" s="1"/>
  <c r="BT25" i="6"/>
  <c r="BL110" i="6"/>
  <c r="BR39" i="6"/>
  <c r="BR40" i="6" s="1"/>
  <c r="BA34" i="6"/>
  <c r="BA51" i="6"/>
  <c r="BL33" i="6"/>
  <c r="BL34" i="6" s="1"/>
  <c r="BO51" i="6"/>
  <c r="BO34" i="6"/>
  <c r="BO58" i="6"/>
  <c r="BO57" i="6"/>
  <c r="BO56" i="6"/>
  <c r="AX57" i="6"/>
  <c r="BM33" i="6"/>
  <c r="BM34" i="6" s="1"/>
  <c r="AX56" i="6"/>
  <c r="CT33" i="6"/>
  <c r="BA56" i="6"/>
  <c r="CW11" i="6"/>
  <c r="BA57" i="6"/>
  <c r="CW29" i="6"/>
  <c r="AX34" i="6"/>
  <c r="BD51" i="6"/>
  <c r="BM53" i="6"/>
  <c r="CW17" i="6"/>
  <c r="CW53" i="6" s="1"/>
  <c r="BK51" i="6"/>
  <c r="BL54" i="6"/>
  <c r="CW15" i="6"/>
  <c r="BC59" i="6"/>
  <c r="BA58" i="6"/>
  <c r="BJ51" i="6"/>
  <c r="CI33" i="6"/>
  <c r="BE57" i="6"/>
  <c r="BE58" i="6"/>
  <c r="BB58" i="6"/>
  <c r="BB51" i="6"/>
  <c r="BF57" i="6"/>
  <c r="BF58" i="6"/>
  <c r="BJ57" i="6"/>
  <c r="BJ58" i="6"/>
  <c r="BB34" i="6"/>
  <c r="BB57" i="6"/>
  <c r="BB56" i="6"/>
  <c r="BG56" i="6"/>
  <c r="BG57" i="6"/>
  <c r="BC34" i="6"/>
  <c r="BC57" i="6"/>
  <c r="AZ34" i="6"/>
  <c r="AZ57" i="6"/>
  <c r="AZ56" i="6"/>
  <c r="AY34" i="6"/>
  <c r="AY57" i="6"/>
  <c r="AY56" i="6"/>
  <c r="BD56" i="6"/>
  <c r="BD41" i="6"/>
  <c r="BD45" i="6" s="1"/>
  <c r="BD59" i="6" s="1"/>
  <c r="BF56" i="6"/>
  <c r="BF34" i="6"/>
  <c r="BE51" i="6"/>
  <c r="BE34" i="6"/>
  <c r="BE56" i="6"/>
  <c r="BH33" i="6"/>
  <c r="BL55" i="6"/>
  <c r="BF51" i="6"/>
  <c r="BM54" i="6"/>
  <c r="BK55" i="6"/>
  <c r="BI33" i="6"/>
  <c r="BG34" i="6"/>
  <c r="BG51" i="6"/>
  <c r="BC56" i="6"/>
  <c r="BC51" i="6"/>
  <c r="E34" i="6"/>
  <c r="L45" i="6"/>
  <c r="L47" i="6" s="1"/>
  <c r="L48" i="6" s="1"/>
  <c r="L11" i="6"/>
  <c r="L33" i="6" s="1"/>
  <c r="L56" i="6" s="1"/>
  <c r="G34" i="6"/>
  <c r="CD44" i="6"/>
  <c r="CD46" i="6" s="1"/>
  <c r="CD49" i="6" s="1"/>
  <c r="O45" i="6"/>
  <c r="O46" i="6" s="1"/>
  <c r="AB11" i="6"/>
  <c r="AB33" i="6" s="1"/>
  <c r="AB34" i="6" s="1"/>
  <c r="F56" i="6"/>
  <c r="K33" i="6"/>
  <c r="K51" i="6" s="1"/>
  <c r="J33" i="6"/>
  <c r="J34" i="6" s="1"/>
  <c r="CI40" i="6"/>
  <c r="G51" i="6"/>
  <c r="D34" i="6"/>
  <c r="M45" i="6"/>
  <c r="M47" i="6" s="1"/>
  <c r="H51" i="6"/>
  <c r="N40" i="6"/>
  <c r="I56" i="6"/>
  <c r="I51" i="6"/>
  <c r="M3" i="6"/>
  <c r="CC44" i="6"/>
  <c r="CC46" i="6" s="1"/>
  <c r="C56" i="6"/>
  <c r="C34" i="6"/>
  <c r="CB49" i="6"/>
  <c r="CB47" i="6"/>
  <c r="BX47" i="6"/>
  <c r="BX49" i="6"/>
  <c r="BZ49" i="6"/>
  <c r="BZ47" i="6"/>
  <c r="CA47" i="6"/>
  <c r="CA49" i="6"/>
  <c r="BY47" i="6"/>
  <c r="BY49" i="6"/>
  <c r="K59" i="6"/>
  <c r="K47" i="6"/>
  <c r="K48" i="6" s="1"/>
  <c r="H34" i="6"/>
  <c r="CJ40" i="6"/>
  <c r="DA13" i="6" l="1"/>
  <c r="CY28" i="6"/>
  <c r="CZ28" i="6" s="1"/>
  <c r="DA28" i="6" s="1"/>
  <c r="DB28" i="6" s="1"/>
  <c r="DC28" i="6" s="1"/>
  <c r="DD28" i="6" s="1"/>
  <c r="DE28" i="6" s="1"/>
  <c r="DF28" i="6" s="1"/>
  <c r="DG28" i="6" s="1"/>
  <c r="DH28" i="6" s="1"/>
  <c r="DI28" i="6" s="1"/>
  <c r="AW41" i="6"/>
  <c r="AW45" i="6" s="1"/>
  <c r="AW56" i="6"/>
  <c r="AS41" i="6"/>
  <c r="AS45" i="6" s="1"/>
  <c r="AS56" i="6"/>
  <c r="DA17" i="6"/>
  <c r="CZ53" i="6"/>
  <c r="AV56" i="6"/>
  <c r="AV41" i="6"/>
  <c r="AV45" i="6" s="1"/>
  <c r="DF49" i="6"/>
  <c r="BS29" i="6"/>
  <c r="BR33" i="6"/>
  <c r="CU34" i="6"/>
  <c r="CV51" i="6"/>
  <c r="CX53" i="6"/>
  <c r="AU56" i="6"/>
  <c r="AU41" i="6"/>
  <c r="AU45" i="6" s="1"/>
  <c r="CU35" i="6"/>
  <c r="CU41" i="6" s="1"/>
  <c r="CU51" i="6"/>
  <c r="DB36" i="6"/>
  <c r="CX39" i="6"/>
  <c r="BN55" i="6"/>
  <c r="BN33" i="6"/>
  <c r="BR51" i="6" s="1"/>
  <c r="CV56" i="6"/>
  <c r="CV58" i="6"/>
  <c r="CV57" i="6"/>
  <c r="CW13" i="6"/>
  <c r="CW55" i="6"/>
  <c r="BV11" i="6"/>
  <c r="CY11" i="6" s="1"/>
  <c r="CX11" i="6"/>
  <c r="CU58" i="6"/>
  <c r="CU57" i="6"/>
  <c r="BN100" i="6"/>
  <c r="BN101" i="6" s="1"/>
  <c r="BN110" i="6" s="1"/>
  <c r="BM101" i="6"/>
  <c r="BM110" i="6" s="1"/>
  <c r="CX29" i="6"/>
  <c r="BU25" i="6"/>
  <c r="CT51" i="6"/>
  <c r="BR55" i="6"/>
  <c r="CT56" i="6"/>
  <c r="CT34" i="6"/>
  <c r="BP55" i="6"/>
  <c r="BQ55" i="6"/>
  <c r="BQ33" i="6"/>
  <c r="BL51" i="6"/>
  <c r="BM51" i="6"/>
  <c r="BD47" i="6"/>
  <c r="BI58" i="6"/>
  <c r="BI51" i="6"/>
  <c r="BI35" i="6"/>
  <c r="BI56" i="6" s="1"/>
  <c r="BI57" i="6"/>
  <c r="BL58" i="6"/>
  <c r="BH57" i="6"/>
  <c r="BH58" i="6"/>
  <c r="BK57" i="6"/>
  <c r="BK58" i="6"/>
  <c r="BJ40" i="6"/>
  <c r="BJ41" i="6" s="1"/>
  <c r="BJ45" i="6" s="1"/>
  <c r="BJ59" i="6" s="1"/>
  <c r="BJ56" i="6"/>
  <c r="BJ34" i="6"/>
  <c r="CV34" i="6" s="1"/>
  <c r="BH35" i="6"/>
  <c r="BH41" i="6" s="1"/>
  <c r="BH45" i="6" s="1"/>
  <c r="BH51" i="6"/>
  <c r="BM55" i="6"/>
  <c r="L59" i="6"/>
  <c r="L51" i="6"/>
  <c r="L34" i="6"/>
  <c r="CI34" i="6"/>
  <c r="J56" i="6"/>
  <c r="K56" i="6"/>
  <c r="J51" i="6"/>
  <c r="O51" i="6"/>
  <c r="K34" i="6"/>
  <c r="M59" i="6"/>
  <c r="N3" i="6"/>
  <c r="N11" i="6" s="1"/>
  <c r="N33" i="6" s="1"/>
  <c r="M11" i="6"/>
  <c r="M48" i="6"/>
  <c r="CC49" i="6"/>
  <c r="AV59" i="6" l="1"/>
  <c r="AV47" i="6"/>
  <c r="DB17" i="6"/>
  <c r="DA53" i="6"/>
  <c r="AS47" i="6"/>
  <c r="AS59" i="6"/>
  <c r="AW59" i="6"/>
  <c r="AW47" i="6"/>
  <c r="BH56" i="6"/>
  <c r="DB13" i="6"/>
  <c r="DG49" i="6"/>
  <c r="BN34" i="6"/>
  <c r="CW34" i="6" s="1"/>
  <c r="CW32" i="6"/>
  <c r="CW33" i="6" s="1"/>
  <c r="BT29" i="6"/>
  <c r="BS33" i="6"/>
  <c r="CX40" i="6"/>
  <c r="CY39" i="6"/>
  <c r="AU59" i="6"/>
  <c r="AU47" i="6"/>
  <c r="CU56" i="6"/>
  <c r="BD48" i="6"/>
  <c r="BD86" i="6"/>
  <c r="DC36" i="6"/>
  <c r="CU45" i="6"/>
  <c r="BN51" i="6"/>
  <c r="BN58" i="6"/>
  <c r="CX13" i="6"/>
  <c r="CX33" i="6" s="1"/>
  <c r="CX55" i="6"/>
  <c r="BV25" i="6"/>
  <c r="CY25" i="6" s="1"/>
  <c r="CZ25" i="6" s="1"/>
  <c r="CJ11" i="6"/>
  <c r="CJ33" i="6" s="1"/>
  <c r="CJ35" i="6" s="1"/>
  <c r="BQ51" i="6"/>
  <c r="BQ57" i="6"/>
  <c r="BQ58" i="6"/>
  <c r="BP51" i="6"/>
  <c r="BP57" i="6"/>
  <c r="BP58" i="6"/>
  <c r="BR35" i="6"/>
  <c r="BR34" i="6" s="1"/>
  <c r="BR57" i="6"/>
  <c r="BR58" i="6"/>
  <c r="BL40" i="6"/>
  <c r="BL41" i="6" s="1"/>
  <c r="BL45" i="6" s="1"/>
  <c r="BL59" i="6" s="1"/>
  <c r="BN40" i="6"/>
  <c r="BN41" i="6" s="1"/>
  <c r="BN45" i="6" s="1"/>
  <c r="BN59" i="6" s="1"/>
  <c r="BN57" i="6"/>
  <c r="BL57" i="6"/>
  <c r="BK40" i="6"/>
  <c r="BK41" i="6" s="1"/>
  <c r="BK45" i="6" s="1"/>
  <c r="BK59" i="6" s="1"/>
  <c r="BI40" i="6"/>
  <c r="BI41" i="6" s="1"/>
  <c r="BI45" i="6" s="1"/>
  <c r="BI59" i="6" s="1"/>
  <c r="BM57" i="6"/>
  <c r="BM58" i="6"/>
  <c r="BN56" i="6"/>
  <c r="BK56" i="6"/>
  <c r="BL56" i="6"/>
  <c r="BM56" i="6"/>
  <c r="BH47" i="6"/>
  <c r="BH59" i="6"/>
  <c r="BJ47" i="6"/>
  <c r="CI35" i="6"/>
  <c r="CI56" i="6" s="1"/>
  <c r="M33" i="6"/>
  <c r="N51" i="6"/>
  <c r="N35" i="6"/>
  <c r="CM40" i="6"/>
  <c r="DA25" i="6" l="1"/>
  <c r="BS51" i="6"/>
  <c r="BS56" i="6"/>
  <c r="AS86" i="6"/>
  <c r="AS48" i="6"/>
  <c r="DC13" i="6"/>
  <c r="AW86" i="6"/>
  <c r="AW48" i="6"/>
  <c r="DC17" i="6"/>
  <c r="DB53" i="6"/>
  <c r="AV86" i="6"/>
  <c r="AV48" i="6"/>
  <c r="DH49" i="6"/>
  <c r="CW51" i="6"/>
  <c r="CW57" i="6"/>
  <c r="CW58" i="6"/>
  <c r="CW35" i="6"/>
  <c r="CW41" i="6" s="1"/>
  <c r="CW45" i="6" s="1"/>
  <c r="CW47" i="6" s="1"/>
  <c r="CW48" i="6" s="1"/>
  <c r="CX51" i="6"/>
  <c r="BU29" i="6"/>
  <c r="BT33" i="6"/>
  <c r="AU48" i="6"/>
  <c r="AU86" i="6"/>
  <c r="CZ39" i="6"/>
  <c r="CY40" i="6"/>
  <c r="CU47" i="6"/>
  <c r="CU48" i="6" s="1"/>
  <c r="CU59" i="6"/>
  <c r="DD36" i="6"/>
  <c r="DE36" i="6" s="1"/>
  <c r="BJ48" i="6"/>
  <c r="BJ86" i="6"/>
  <c r="BH48" i="6"/>
  <c r="BH86" i="6"/>
  <c r="CK51" i="6"/>
  <c r="CX57" i="6"/>
  <c r="CX58" i="6"/>
  <c r="BR56" i="6"/>
  <c r="BR41" i="6"/>
  <c r="BR45" i="6" s="1"/>
  <c r="BR46" i="6" s="1"/>
  <c r="BQ41" i="6"/>
  <c r="BQ45" i="6" s="1"/>
  <c r="BQ56" i="6"/>
  <c r="BP56" i="6"/>
  <c r="BQ34" i="6"/>
  <c r="CX34" i="6" s="1"/>
  <c r="CX35" i="6" s="1"/>
  <c r="BM40" i="6"/>
  <c r="BM41" i="6" s="1"/>
  <c r="BM45" i="6" s="1"/>
  <c r="BM59" i="6" s="1"/>
  <c r="CI41" i="6"/>
  <c r="CI45" i="6" s="1"/>
  <c r="CI46" i="6" s="1"/>
  <c r="CI47" i="6" s="1"/>
  <c r="BI47" i="6"/>
  <c r="BK47" i="6"/>
  <c r="BL47" i="6"/>
  <c r="BN47" i="6"/>
  <c r="M51" i="6"/>
  <c r="M56" i="6"/>
  <c r="M34" i="6"/>
  <c r="N34" i="6"/>
  <c r="N41" i="6"/>
  <c r="N45" i="6" s="1"/>
  <c r="N56" i="6"/>
  <c r="CJ51" i="6"/>
  <c r="BT51" i="6" l="1"/>
  <c r="BT56" i="6"/>
  <c r="DD13" i="6"/>
  <c r="DD17" i="6"/>
  <c r="DC53" i="6"/>
  <c r="DF36" i="6"/>
  <c r="DB25" i="6"/>
  <c r="CW56" i="6"/>
  <c r="DI49" i="6"/>
  <c r="CW59" i="6"/>
  <c r="BV29" i="6"/>
  <c r="BV33" i="6" s="1"/>
  <c r="BU33" i="6"/>
  <c r="BU56" i="6" s="1"/>
  <c r="DA39" i="6"/>
  <c r="CZ40" i="6"/>
  <c r="CX41" i="6"/>
  <c r="CX45" i="6" s="1"/>
  <c r="CX56" i="6"/>
  <c r="BI48" i="6"/>
  <c r="BI86" i="6"/>
  <c r="BN48" i="6"/>
  <c r="BN86" i="6"/>
  <c r="BL48" i="6"/>
  <c r="BL86" i="6"/>
  <c r="BR47" i="6"/>
  <c r="BR59" i="6"/>
  <c r="BK48" i="6"/>
  <c r="BK86" i="6"/>
  <c r="BP59" i="6"/>
  <c r="CX46" i="6"/>
  <c r="BM47" i="6"/>
  <c r="CJ41" i="6"/>
  <c r="CJ45" i="6" s="1"/>
  <c r="N46" i="6"/>
  <c r="N47" i="6" s="1"/>
  <c r="DC25" i="6" l="1"/>
  <c r="BV51" i="6"/>
  <c r="BV56" i="6"/>
  <c r="DG36" i="6"/>
  <c r="DE17" i="6"/>
  <c r="DD53" i="6"/>
  <c r="CY33" i="6"/>
  <c r="CY51" i="6" s="1"/>
  <c r="DE13" i="6"/>
  <c r="BR48" i="6"/>
  <c r="BR67" i="6"/>
  <c r="CX67" i="6" s="1"/>
  <c r="CY44" i="6" s="1"/>
  <c r="CY29" i="6"/>
  <c r="CZ29" i="6" s="1"/>
  <c r="BU51" i="6"/>
  <c r="CX47" i="6"/>
  <c r="CX48" i="6" s="1"/>
  <c r="DB39" i="6"/>
  <c r="DA40" i="6"/>
  <c r="BQ59" i="6"/>
  <c r="CX59" i="6"/>
  <c r="BM48" i="6"/>
  <c r="BM86" i="6"/>
  <c r="BP47" i="6"/>
  <c r="BQ47" i="6"/>
  <c r="CJ56" i="6"/>
  <c r="CK56" i="6"/>
  <c r="N48" i="6"/>
  <c r="CJ47" i="6"/>
  <c r="CJ48" i="6" s="1"/>
  <c r="N59" i="6"/>
  <c r="BQ48" i="6" l="1"/>
  <c r="BQ86" i="6"/>
  <c r="DH36" i="6"/>
  <c r="DA29" i="6"/>
  <c r="CZ33" i="6"/>
  <c r="CZ51" i="6" s="1"/>
  <c r="DF13" i="6"/>
  <c r="DE53" i="6"/>
  <c r="DF17" i="6"/>
  <c r="DD25" i="6"/>
  <c r="CY35" i="6"/>
  <c r="DC39" i="6"/>
  <c r="DB40" i="6"/>
  <c r="BP48" i="6"/>
  <c r="BP86" i="6"/>
  <c r="CL56" i="6"/>
  <c r="CK45" i="6"/>
  <c r="DE25" i="6" l="1"/>
  <c r="DG13" i="6"/>
  <c r="DF53" i="6"/>
  <c r="DG17" i="6"/>
  <c r="DB29" i="6"/>
  <c r="DA33" i="6"/>
  <c r="DA51" i="6" s="1"/>
  <c r="DI36" i="6"/>
  <c r="CY34" i="6"/>
  <c r="CY41" i="6"/>
  <c r="CY45" i="6" s="1"/>
  <c r="CY46" i="6" s="1"/>
  <c r="CY47" i="6" s="1"/>
  <c r="CZ35" i="6"/>
  <c r="DD39" i="6"/>
  <c r="DC40" i="6"/>
  <c r="CK47" i="6"/>
  <c r="CK48" i="6" s="1"/>
  <c r="CM56" i="6"/>
  <c r="CM41" i="6"/>
  <c r="DD40" i="6" l="1"/>
  <c r="DE39" i="6"/>
  <c r="DC29" i="6"/>
  <c r="DB33" i="6"/>
  <c r="DB51" i="6" s="1"/>
  <c r="DH17" i="6"/>
  <c r="DG53" i="6"/>
  <c r="DH13" i="6"/>
  <c r="DF25" i="6"/>
  <c r="CY48" i="6"/>
  <c r="CY67" i="6"/>
  <c r="DA35" i="6"/>
  <c r="CZ34" i="6"/>
  <c r="CZ41" i="6"/>
  <c r="CN56" i="6"/>
  <c r="CN41" i="6"/>
  <c r="CN45" i="6" s="1"/>
  <c r="CL45" i="6"/>
  <c r="CL47" i="6" s="1"/>
  <c r="CL48" i="6" s="1"/>
  <c r="DG25" i="6" l="1"/>
  <c r="DI13" i="6"/>
  <c r="DI17" i="6"/>
  <c r="DH53" i="6"/>
  <c r="DD29" i="6"/>
  <c r="DC33" i="6"/>
  <c r="DC51" i="6" s="1"/>
  <c r="DF39" i="6"/>
  <c r="DE40" i="6"/>
  <c r="CZ44" i="6"/>
  <c r="CZ45" i="6" s="1"/>
  <c r="CZ46" i="6" s="1"/>
  <c r="CZ47" i="6" s="1"/>
  <c r="DB35" i="6"/>
  <c r="DA34" i="6"/>
  <c r="DA41" i="6"/>
  <c r="CM45" i="6"/>
  <c r="CM47" i="6" s="1"/>
  <c r="CO41" i="6"/>
  <c r="CO45" i="6" s="1"/>
  <c r="CO56" i="6"/>
  <c r="DI53" i="6" l="1"/>
  <c r="DG39" i="6"/>
  <c r="DF40" i="6"/>
  <c r="DE29" i="6"/>
  <c r="DD33" i="6"/>
  <c r="DD51" i="6" s="1"/>
  <c r="DH25" i="6"/>
  <c r="CZ48" i="6"/>
  <c r="CZ67" i="6"/>
  <c r="DC35" i="6"/>
  <c r="DB34" i="6"/>
  <c r="DB41" i="6"/>
  <c r="CN47" i="6"/>
  <c r="CO47" i="6" s="1"/>
  <c r="DI25" i="6" l="1"/>
  <c r="DF29" i="6"/>
  <c r="DE33" i="6"/>
  <c r="DH39" i="6"/>
  <c r="DG40" i="6"/>
  <c r="DA44" i="6"/>
  <c r="DA45" i="6" s="1"/>
  <c r="DA46" i="6" s="1"/>
  <c r="DA47" i="6" s="1"/>
  <c r="DA48" i="6" s="1"/>
  <c r="DC34" i="6"/>
  <c r="DC41" i="6"/>
  <c r="DD35" i="6"/>
  <c r="DD41" i="6" s="1"/>
  <c r="DI39" i="6" l="1"/>
  <c r="DI40" i="6" s="1"/>
  <c r="DH40" i="6"/>
  <c r="DE51" i="6"/>
  <c r="DE35" i="6"/>
  <c r="DE41" i="6" s="1"/>
  <c r="DG29" i="6"/>
  <c r="DF33" i="6"/>
  <c r="DA67" i="6"/>
  <c r="DD34" i="6"/>
  <c r="DF35" i="6" l="1"/>
  <c r="DF41" i="6" s="1"/>
  <c r="DF51" i="6"/>
  <c r="DH29" i="6"/>
  <c r="DG33" i="6"/>
  <c r="DE34" i="6"/>
  <c r="DB44" i="6"/>
  <c r="DB45" i="6" s="1"/>
  <c r="DB46" i="6" s="1"/>
  <c r="DB47" i="6" s="1"/>
  <c r="AR29" i="6"/>
  <c r="AR33" i="6" s="1"/>
  <c r="DF34" i="6" l="1"/>
  <c r="DG35" i="6"/>
  <c r="DG41" i="6" s="1"/>
  <c r="DG51" i="6"/>
  <c r="DI29" i="6"/>
  <c r="DI33" i="6" s="1"/>
  <c r="DH33" i="6"/>
  <c r="DB48" i="6"/>
  <c r="DB67" i="6"/>
  <c r="AR57" i="6"/>
  <c r="AR35" i="6"/>
  <c r="AR51" i="6"/>
  <c r="AV51" i="6"/>
  <c r="AR58" i="6"/>
  <c r="DG34" i="6" l="1"/>
  <c r="DH35" i="6"/>
  <c r="DH41" i="6" s="1"/>
  <c r="DH51" i="6"/>
  <c r="DH34" i="6"/>
  <c r="DI51" i="6"/>
  <c r="DI35" i="6"/>
  <c r="DI41" i="6" s="1"/>
  <c r="DC44" i="6"/>
  <c r="DC45" i="6" s="1"/>
  <c r="DC46" i="6" s="1"/>
  <c r="DC47" i="6" s="1"/>
  <c r="AR56" i="6"/>
  <c r="AR41" i="6"/>
  <c r="AR45" i="6" s="1"/>
  <c r="DI34" i="6" l="1"/>
  <c r="DC48" i="6"/>
  <c r="DC67" i="6"/>
  <c r="AR47" i="6"/>
  <c r="AR59" i="6"/>
  <c r="DD44" i="6" l="1"/>
  <c r="DD45" i="6" s="1"/>
  <c r="DD46" i="6" s="1"/>
  <c r="DD47" i="6" s="1"/>
  <c r="AR86" i="6"/>
  <c r="AR48" i="6"/>
  <c r="DD48" i="6" l="1"/>
  <c r="DD67" i="6"/>
  <c r="DE44" i="6" l="1"/>
  <c r="DE45" i="6" s="1"/>
  <c r="DE46" i="6" l="1"/>
  <c r="DE47" i="6" s="1"/>
  <c r="DE48" i="6" l="1"/>
  <c r="DE67" i="6"/>
  <c r="DF44" i="6" l="1"/>
  <c r="DF45" i="6" s="1"/>
  <c r="DF46" i="6" l="1"/>
  <c r="DF47" i="6"/>
  <c r="DF48" i="6" l="1"/>
  <c r="DF67" i="6"/>
  <c r="DG44" i="6" l="1"/>
  <c r="DG45" i="6" s="1"/>
  <c r="DG46" i="6" l="1"/>
  <c r="DG47" i="6" s="1"/>
  <c r="DG48" i="6" l="1"/>
  <c r="DG67" i="6"/>
  <c r="DH44" i="6" l="1"/>
  <c r="DH45" i="6" s="1"/>
  <c r="DH46" i="6" l="1"/>
  <c r="DH47" i="6" s="1"/>
  <c r="DH48" i="6" l="1"/>
  <c r="DH67" i="6"/>
  <c r="DI44" i="6" l="1"/>
  <c r="DI45" i="6" s="1"/>
  <c r="DI46" i="6" l="1"/>
  <c r="DI47" i="6" s="1"/>
  <c r="DI48" i="6" l="1"/>
  <c r="DJ47" i="6"/>
  <c r="DK47" i="6" s="1"/>
  <c r="DL47" i="6" s="1"/>
  <c r="DM47" i="6" s="1"/>
  <c r="DN47" i="6" s="1"/>
  <c r="DO47" i="6" s="1"/>
  <c r="DP47" i="6" s="1"/>
  <c r="DQ47" i="6" s="1"/>
  <c r="DR47" i="6" s="1"/>
  <c r="DS47" i="6" s="1"/>
  <c r="DT47" i="6" s="1"/>
  <c r="DU47" i="6" s="1"/>
  <c r="DV47" i="6" s="1"/>
  <c r="DW47" i="6" s="1"/>
  <c r="DX47" i="6" s="1"/>
  <c r="DY47" i="6" s="1"/>
  <c r="DZ47" i="6" s="1"/>
  <c r="EA47" i="6" s="1"/>
  <c r="EB47" i="6" s="1"/>
  <c r="EC47" i="6" s="1"/>
  <c r="ED47" i="6" s="1"/>
  <c r="EE47" i="6" s="1"/>
  <c r="EF47" i="6" s="1"/>
  <c r="EG47" i="6" s="1"/>
  <c r="EH47" i="6" s="1"/>
  <c r="EI47" i="6" s="1"/>
  <c r="EJ47" i="6" s="1"/>
  <c r="EK47" i="6" s="1"/>
  <c r="EL47" i="6" s="1"/>
  <c r="EM47" i="6" s="1"/>
  <c r="EN47" i="6" s="1"/>
  <c r="EO47" i="6" s="1"/>
  <c r="DM52" i="6" s="1"/>
  <c r="DM53" i="6" s="1"/>
  <c r="DI67" i="6"/>
  <c r="DM55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20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20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37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2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2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2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6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9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9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9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9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1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2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2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<sst xmlns="http://schemas.openxmlformats.org/spreadsheetml/2006/main" count="870" uniqueCount="619">
  <si>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</si>
  <si>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</si>
  <si>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</si>
  <si>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</si>
  <si>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</si>
  <si>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</si>
  <si>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</si>
  <si>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</si>
  <si>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</si>
  <si>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</si>
  <si>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</si>
  <si>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</si>
  <si>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</si>
  <si>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</si>
  <si>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</si>
  <si>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</si>
  <si>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</si>
  <si>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</si>
  <si>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</si>
  <si>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</si>
  <si>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</si>
  <si>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</si>
  <si>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</si>
  <si>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</si>
  <si>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</si>
  <si>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</si>
  <si>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</si>
  <si>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</si>
  <si>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</si>
  <si>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</si>
  <si>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</si>
  <si>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</si>
  <si>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</si>
  <si>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</si>
  <si>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</si>
  <si>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</si>
  <si>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</si>
  <si>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</si>
  <si>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</si>
  <si>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</si>
  <si>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</si>
  <si>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</si>
  <si>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</si>
  <si>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</si>
  <si>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</si>
  <si>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</si>
  <si>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</si>
  <si>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</si>
  <si>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</si>
  <si>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</si>
  <si>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</si>
  <si>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</si>
  <si>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</si>
  <si>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</si>
  <si>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</si>
  <si>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</si>
  <si>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</si>
  <si>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</si>
  <si>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</si>
  <si>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</si>
  <si>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</si>
  <si>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</si>
  <si>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</si>
  <si>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</si>
  <si>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</si>
  <si>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</si>
  <si>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</si>
  <si>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</si>
  <si>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</si>
  <si>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</si>
  <si>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</si>
  <si>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</si>
  <si>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</si>
  <si>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</si>
  <si>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</si>
  <si>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</si>
  <si>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</si>
  <si>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</si>
  <si>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</si>
  <si>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</si>
  <si>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</si>
  <si>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</si>
  <si>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</si>
  <si>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</si>
  <si>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</si>
  <si>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</si>
  <si>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</si>
  <si>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</si>
  <si>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</si>
  <si>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</si>
  <si>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</si>
  <si>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</si>
  <si>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</si>
  <si>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</si>
  <si>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</si>
  <si>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</si>
  <si>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</si>
  <si>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</si>
  <si>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</si>
  <si>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</si>
  <si>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</si>
  <si>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</si>
  <si>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</si>
  <si>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</si>
  <si>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</si>
  <si>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</si>
  <si>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</si>
  <si>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</si>
  <si>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</si>
  <si>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</si>
  <si>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</si>
  <si>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</si>
  <si>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</si>
  <si>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</si>
  <si>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</si>
  <si>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</si>
  <si>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</si>
  <si>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</si>
  <si>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</si>
  <si>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</si>
  <si>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</si>
  <si>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</si>
  <si>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</si>
  <si>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</si>
  <si>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</si>
  <si>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</si>
  <si>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</si>
  <si>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</si>
  <si>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</si>
  <si>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</si>
  <si>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</si>
  <si>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</si>
  <si>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</si>
  <si>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</si>
  <si>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</si>
  <si>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</si>
  <si>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</si>
  <si>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</si>
  <si>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</si>
  <si>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</si>
  <si>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</si>
  <si>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</si>
  <si>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</si>
  <si>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</si>
  <si>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</si>
  <si>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</si>
  <si>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</si>
  <si>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</si>
  <si>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</si>
  <si>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</si>
  <si>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</si>
  <si>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</si>
  <si>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</si>
  <si>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</si>
  <si>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</si>
  <si>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</si>
  <si>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</si>
  <si>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</si>
  <si>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</si>
  <si>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</si>
  <si>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</si>
  <si>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</si>
  <si>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</si>
  <si>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</si>
  <si>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</si>
  <si>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</si>
  <si>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</si>
  <si>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</si>
  <si>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</si>
  <si>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</si>
  <si>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</si>
  <si>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</si>
  <si>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</si>
  <si>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</si>
  <si>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</si>
  <si>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</si>
  <si>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</si>
  <si>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</si>
  <si>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</si>
  <si>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</si>
  <si>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</si>
  <si>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</si>
  <si>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</si>
  <si>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</si>
  <si>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</si>
  <si>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</si>
  <si>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</si>
  <si>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</si>
  <si>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</si>
  <si>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</si>
  <si>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</si>
  <si>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</si>
  <si>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</si>
  <si>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</si>
  <si>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</si>
  <si>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</si>
  <si>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</si>
  <si>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</si>
  <si>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</si>
  <si>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</si>
  <si>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</si>
  <si>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</si>
  <si>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</si>
  <si>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</si>
  <si>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</si>
  <si>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</si>
  <si>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</si>
  <si>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</si>
  <si>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</si>
  <si>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</si>
  <si>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</si>
  <si>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</si>
  <si>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</si>
  <si>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</si>
  <si>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</si>
  <si>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</si>
  <si>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</si>
  <si>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</si>
  <si>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</si>
  <si>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</si>
  <si>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</si>
  <si>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</si>
  <si>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</si>
  <si>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</si>
  <si>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</si>
  <si>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</si>
  <si>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</si>
  <si>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</si>
  <si>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</si>
  <si>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</si>
  <si>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</si>
  <si>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</si>
  <si>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</si>
  <si>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</si>
  <si>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</si>
  <si>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</si>
  <si>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</si>
  <si>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</si>
  <si>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</si>
  <si>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</si>
  <si>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</si>
  <si>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</si>
  <si>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</si>
  <si>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</si>
  <si>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</si>
  <si>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</si>
  <si>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</si>
  <si>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</si>
  <si>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</si>
  <si>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</si>
  <si>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</si>
  <si>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</si>
  <si>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</si>
  <si>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</si>
  <si>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</si>
  <si>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</si>
  <si>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</si>
  <si>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</si>
  <si>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</si>
  <si>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</si>
  <si>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</si>
  <si>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</si>
  <si>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</si>
  <si>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</si>
  <si>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</si>
  <si>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</si>
  <si>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</si>
  <si>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</si>
  <si>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</si>
  <si>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</si>
  <si>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</si>
  <si>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</si>
  <si>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</si>
  <si>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</si>
  <si>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</si>
  <si>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</si>
  <si>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</si>
  <si>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</si>
  <si>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</si>
  <si>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</si>
  <si>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</si>
  <si>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</si>
  <si>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</si>
  <si>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</si>
  <si>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</si>
  <si>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</si>
  <si>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</si>
  <si>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</si>
  <si>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</si>
  <si>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</si>
  <si>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</si>
  <si>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</si>
  <si>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</si>
  <si>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</si>
  <si>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</si>
  <si>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</si>
  <si>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</si>
  <si>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</si>
  <si>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</si>
  <si>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</si>
  <si>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</si>
  <si>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</si>
  <si>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</si>
  <si>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</si>
  <si>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</si>
  <si>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</si>
  <si>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</si>
  <si>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</si>
  <si>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</si>
  <si>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</si>
  <si>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</si>
  <si>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</si>
  <si>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</si>
  <si>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</si>
  <si>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</si>
  <si>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</si>
  <si>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</si>
  <si>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</si>
  <si>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</si>
  <si>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</si>
  <si>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</si>
  <si>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</si>
  <si>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</si>
  <si>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</si>
  <si>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</si>
  <si>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</si>
  <si>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</si>
  <si>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</si>
  <si>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</si>
  <si>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</si>
  <si>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</si>
  <si>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</si>
  <si>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</si>
  <si>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</si>
  <si>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</si>
  <si>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</si>
  <si>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</si>
  <si>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</si>
  <si>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</si>
  <si>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</si>
  <si>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</si>
  <si>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</si>
  <si>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</si>
  <si>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</si>
  <si>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</si>
  <si>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</si>
  <si>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</si>
  <si>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</si>
  <si>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</si>
  <si>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</si>
  <si>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</si>
  <si>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</si>
  <si>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</si>
  <si>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</si>
  <si>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</si>
  <si>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</si>
  <si>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</si>
  <si>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</si>
  <si>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</si>
  <si>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</si>
  <si>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</si>
  <si>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</si>
  <si>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</si>
  <si>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</si>
  <si>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</si>
  <si>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</si>
  <si>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</si>
  <si>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</si>
  <si>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</si>
  <si>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</si>
  <si>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</si>
  <si>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</si>
  <si>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</si>
  <si>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</si>
  <si>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</si>
  <si>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</si>
  <si>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</si>
  <si>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</si>
  <si>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</si>
  <si>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</si>
  <si>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</si>
  <si>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</si>
  <si>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</si>
  <si>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</si>
  <si>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</si>
  <si>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</si>
  <si>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</si>
  <si>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</si>
  <si>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</si>
  <si>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</si>
  <si>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</si>
  <si>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</si>
  <si>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</si>
  <si>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</si>
  <si>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</si>
  <si>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</si>
  <si>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</si>
  <si>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</si>
  <si>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</si>
  <si>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</si>
  <si>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</si>
  <si>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</si>
  <si>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</si>
  <si>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</si>
  <si>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</si>
  <si>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</si>
  <si>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</si>
  <si>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</si>
  <si>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</si>
  <si>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</si>
  <si>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</si>
  <si>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</si>
  <si>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</si>
  <si>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</si>
  <si>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</si>
  <si>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</si>
  <si>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</si>
  <si>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</si>
  <si>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</si>
  <si>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</si>
  <si>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</si>
  <si>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</si>
  <si>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</si>
  <si>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</si>
  <si>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</si>
  <si>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</si>
  <si>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</si>
  <si>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</si>
  <si>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</si>
  <si>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</si>
  <si>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</si>
  <si>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</si>
  <si>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</si>
  <si>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</si>
  <si>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</si>
  <si>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</si>
  <si>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</si>
  <si>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</si>
  <si>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</si>
  <si>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</si>
  <si>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</si>
  <si>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</si>
  <si>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</si>
  <si>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</si>
  <si>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</si>
  <si>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</si>
  <si>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</si>
  <si>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</si>
  <si>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</si>
  <si>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</si>
  <si>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</si>
  <si>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</si>
  <si>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</si>
  <si>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</si>
  <si>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</si>
  <si>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</si>
  <si>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</si>
  <si>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</si>
  <si>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</si>
  <si>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</si>
  <si>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</si>
  <si>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</si>
  <si>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</si>
  <si>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</si>
  <si>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</si>
  <si>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</si>
  <si>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</si>
  <si>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</si>
  <si>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</si>
  <si>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</si>
  <si>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</si>
  <si>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</si>
  <si>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</si>
  <si>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</si>
  <si>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</si>
  <si>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</si>
  <si>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</si>
  <si>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</si>
  <si>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</si>
  <si>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</si>
  <si>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</si>
  <si>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</si>
  <si>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</si>
  <si>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</si>
  <si>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</si>
  <si>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</si>
  <si>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</si>
  <si>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</si>
  <si>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</si>
  <si>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</si>
  <si>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</si>
  <si>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</si>
  <si>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</si>
  <si>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</si>
  <si>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</si>
  <si>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</si>
  <si>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</si>
  <si>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</si>
  <si>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</si>
  <si>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</si>
  <si>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</si>
  <si>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</si>
  <si>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</si>
  <si>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</si>
  <si>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</si>
  <si>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</si>
  <si>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</si>
  <si>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</si>
  <si>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</si>
  <si>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</si>
  <si>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</si>
  <si>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</si>
  <si>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</si>
  <si>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</si>
  <si>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</si>
  <si>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</si>
  <si>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</si>
  <si>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EVP, Commercial: Camilla Sylvest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</si>
  <si>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</si>
  <si>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</si>
  <si>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</si>
  <si>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</si>
  <si>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</si>
  <si>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</si>
  <si>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</si>
  <si>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</si>
  <si>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</si>
  <si>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</si>
  <si>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</si>
  <si>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</si>
  <si>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</si>
  <si>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</si>
  <si>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</si>
  <si>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</si>
  <si>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</si>
  <si>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</si>
  <si>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</si>
  <si>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</si>
  <si>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</si>
  <si>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</si>
  <si>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</si>
  <si>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</si>
  <si>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</si>
  <si>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</si>
  <si>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</si>
  <si>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</si>
  <si>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</si>
  <si>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</si>
  <si>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</si>
  <si>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</si>
  <si>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</si>
  <si>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</si>
  <si>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</si>
  <si>
    <t>TTM GLP-1 revenue</t>
  </si>
  <si>
    <t>USD TTM COGS (probably lower)</t>
  </si>
  <si>
    <t>GPCR, cotadutide, Altimmune, OXM-104, efinopegdutide (MRK), VKTX</t>
  </si>
  <si>
    <t>TEVA PPE</t>
  </si>
  <si>
    <t>NVO PPE (USD)</t>
  </si>
  <si>
    <t>8579869 needle mounting expired 2023</t>
  </si>
  <si>
    <t>9457154 injection device expires 2027</t>
  </si>
  <si>
    <t>9616180 injection device expires 2026</t>
  </si>
  <si>
    <t>9687611 injection device expires 2027</t>
  </si>
  <si>
    <t>10335462 MOU 2033</t>
  </si>
  <si>
    <t>liraglutide with 3 changes: 8AA, FA26, different spacer</t>
  </si>
  <si>
    <t>issued 3/6/2012, application 11/908,834, filed 3/20/2006</t>
  </si>
  <si>
    <t>provisional 60/664,497, filed 3/23/2005, EP05102171, filed 3/18/2005</t>
  </si>
  <si>
    <t>Mylan claims 6,268,343 liraglutide patent includes semaglutide. 6,528,486 taught modifying the 8th amino acid of GLP-1</t>
  </si>
  <si>
    <t>8536122 acylated GLP-1 expires 3/20/2026</t>
  </si>
  <si>
    <t>specifically claims semaglutide</t>
  </si>
  <si>
    <t>genus patent? MOU claims</t>
  </si>
  <si>
    <t>Natco/Mylan settled on 10/7/2024. Natco is using Stelis as a manufacturing partner. Sun, Apotex, Dr. Reddy's</t>
  </si>
  <si>
    <t>Aurobindo, Alvogen?</t>
  </si>
  <si>
    <t>ROIC</t>
  </si>
  <si>
    <t>NPV DKK</t>
  </si>
  <si>
    <t>NN0662</t>
  </si>
  <si>
    <t>Undisclosed</t>
  </si>
  <si>
    <t>NN0519</t>
  </si>
  <si>
    <t>CKD, Obesity, T2D</t>
  </si>
  <si>
    <t>fka AM833, NN0174-0833</t>
  </si>
  <si>
    <t>NNC0638</t>
  </si>
  <si>
    <t>Heart Failure</t>
  </si>
  <si>
    <t>NNC0537</t>
  </si>
  <si>
    <t>NNC0487</t>
  </si>
  <si>
    <t>NNC0194</t>
  </si>
  <si>
    <t>NNC6022</t>
  </si>
  <si>
    <t>SON OF OZEMPIC?</t>
  </si>
  <si>
    <t>NNC0650</t>
  </si>
  <si>
    <t>NNC6019</t>
  </si>
  <si>
    <t>TTR amyloidosis</t>
  </si>
  <si>
    <t>NNC0560</t>
  </si>
  <si>
    <t>NNC0113</t>
  </si>
  <si>
    <t>NNC0491</t>
  </si>
  <si>
    <t>NNC0582</t>
  </si>
  <si>
    <t>NNC0480</t>
  </si>
  <si>
    <t>NLRP3</t>
  </si>
  <si>
    <t>Nephrology, Cardiology, Hepatology</t>
  </si>
  <si>
    <t>Ventus</t>
  </si>
  <si>
    <t>subcut</t>
  </si>
  <si>
    <t>VAP-1</t>
  </si>
  <si>
    <t>UBE Corp</t>
  </si>
  <si>
    <t>insulin</t>
  </si>
  <si>
    <t>NNC0363</t>
  </si>
  <si>
    <t>FGF-21</t>
  </si>
  <si>
    <t>NASH</t>
  </si>
  <si>
    <t>Undisclosed, possibly amylin</t>
  </si>
  <si>
    <t>LXR siRNA</t>
  </si>
  <si>
    <t>Cardiovascular</t>
  </si>
  <si>
    <t>p2</t>
  </si>
  <si>
    <t>p3</t>
  </si>
  <si>
    <t>file</t>
  </si>
  <si>
    <t>Current</t>
  </si>
  <si>
    <t>1/8/25: Valo Health partnership expanded, $190m upfront.</t>
  </si>
  <si>
    <t>12/20/24: CagriSema REDEFINE 1 results.</t>
  </si>
  <si>
    <t>Phase III "REDEFINE 1" n=3417 obesity vs. components</t>
  </si>
  <si>
    <t>22.7% weight loss at 68 weeks</t>
  </si>
  <si>
    <t>11.8% weight loss with cagri</t>
  </si>
  <si>
    <t>16.1% weight loss with sema</t>
  </si>
  <si>
    <t>2.3% weight loss with placebo</t>
  </si>
  <si>
    <t>Phase III "REDEFINE 4" vs. tirzepatide n=800 obesity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</si>
</sst>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2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</numFmts>
  <fonts count="20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  <font>
      <sz val="10"/>
      <color rgb="FFFF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88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3" fontId="0" fillId="0" borderId="0" xfId="0" applyNumberFormat="1"/>
    <xf numFmtId="3" fontId="1" fillId="0" borderId="0" xfId="3" applyNumberFormat="1" applyFont="1" applyBorder="1" applyAlignment="1">
      <alignment horizontal="left"/>
    </xf>
    <xf numFmtId="3" fontId="1" fillId="0" borderId="0" xfId="0" applyNumberFormat="1" applyFont="1"/>
    <xf numFmtId="0" fontId="3" fillId="0" borderId="0" xfId="0" applyFont="1"/>
    <xf numFmtId="0" fontId="19" fillId="5" borderId="0" xfId="0" applyFont="1" applyFill="1" applyAlignment="1">
      <alignment horizontal="center"/>
    </xf>
    <xf numFmtId="0" fontId="3" fillId="6" borderId="7" xfId="0" applyFont="1" applyFill="1" applyBorder="1"/>
    <xf numFmtId="0" fontId="3" fillId="6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6" borderId="8" xfId="0" applyFont="1" applyFill="1" applyBorder="1" applyAlignment="1">
      <alignment horizontal="center"/>
    </xf>
    <xf numFmtId="4" fontId="1" fillId="0" borderId="0" xfId="3" applyNumberFormat="1" applyFont="1" applyBorder="1" applyAlignment="1">
      <alignment horizontal="right"/>
    </xf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70</xdr:col>
      <xdr:colOff>62311</xdr:colOff>
      <xdr:row>0</xdr:row>
      <xdr:rowOff>0</xdr:rowOff>
    </xdr:from>
    <xdr:to>
      <xdr:col>70</xdr:col>
      <xdr:colOff>62311</xdr:colOff>
      <xdr:row>119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4911905" y="0"/>
          <a:ext cx="0" cy="19188701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102</xdr:col>
      <xdr:colOff>12718</xdr:colOff>
      <xdr:row>0</xdr:row>
      <xdr:rowOff>0</xdr:rowOff>
    </xdr:from>
    <xdr:to>
      <xdr:col>102</xdr:col>
      <xdr:colOff>12718</xdr:colOff>
      <xdr:row>107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53392632" y="0"/>
          <a:ext cx="0" cy="1796493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38</xdr:row>
      <xdr:rowOff>142490</xdr:rowOff>
    </xdr:from>
    <xdr:to>
      <xdr:col>13</xdr:col>
      <xdr:colOff>511716</xdr:colOff>
      <xdr:row>53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44</xdr:row>
      <xdr:rowOff>68147</xdr:rowOff>
    </xdr:from>
    <xdr:to>
      <xdr:col>6</xdr:col>
      <xdr:colOff>305729</xdr:colOff>
      <xdr:row>56</xdr:row>
      <xdr:rowOff>32698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56</xdr:row>
      <xdr:rowOff>0</xdr:rowOff>
    </xdr:from>
    <xdr:to>
      <xdr:col>13</xdr:col>
      <xdr:colOff>40888</xdr:colOff>
      <xdr:row>68</xdr:row>
      <xdr:rowOff>88590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68</xdr:row>
      <xdr:rowOff>78987</xdr:rowOff>
    </xdr:from>
    <xdr:to>
      <xdr:col>15</xdr:col>
      <xdr:colOff>25627</xdr:colOff>
      <xdr:row>82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365031</xdr:colOff>
      <xdr:row>13</xdr:row>
      <xdr:rowOff>21770</xdr:rowOff>
    </xdr:from>
    <xdr:to>
      <xdr:col>9</xdr:col>
      <xdr:colOff>149283</xdr:colOff>
      <xdr:row>50</xdr:row>
      <xdr:rowOff>110319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71D0F9-1E64-533B-3AE5-4D7C38C6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231" y="1164770"/>
          <a:ext cx="4051452" cy="6130119"/>
        </a:xfrm>
        <a:prstGeom prst="rect">
          <a:avLst/>
        </a:prstGeom>
      </xdr:spPr>
    </xdr:pic>
    <xdr:clientData/>
  </xdr:twoCellAnchor>
  <xdr:twoCellAnchor editAs="oneCell">
    <xdr:from>
      <xdr:col>9</xdr:col>
      <xdr:colOff>102955</xdr:colOff>
      <xdr:row>13</xdr:row>
      <xdr:rowOff>7258</xdr:rowOff>
    </xdr:from>
    <xdr:to>
      <xdr:col>16</xdr:col>
      <xdr:colOff>235439</xdr:colOff>
      <xdr:row>46</xdr:row>
      <xdr:rowOff>106124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26E64-1BE4-EDDA-6CFF-EC5D6207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355" y="1139372"/>
          <a:ext cx="4399683" cy="5367552"/>
        </a:xfrm>
        <a:prstGeom prst="rect">
          <a:avLst/>
        </a:prstGeom>
      </xdr:spPr>
    </xdr:pic>
    <xdr:clientData/>
  </xdr:twoCellAnchor>
  <xdr:twoCellAnchor editAs="oneCell">
    <xdr:from>
      <xdr:col>9</xdr:col>
      <xdr:colOff>3060</xdr:colOff>
      <xdr:row>45</xdr:row>
      <xdr:rowOff>141514</xdr:rowOff>
    </xdr:from>
    <xdr:to>
      <xdr:col>14</xdr:col>
      <xdr:colOff>577058</xdr:colOff>
      <xdr:row>69</xdr:row>
      <xdr:rowOff>126310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372484-77CF-787E-256B-3C4A09F3A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9460" y="6382657"/>
          <a:ext cx="3621998" cy="3816568"/>
        </a:xfrm>
        <a:prstGeom prst="rect">
          <a:avLst/>
        </a:prstGeom>
      </xdr:spPr>
    </xdr:pic>
    <xdr:clientData/>
  </xdr:twoCellAnchor>
  <xdr:twoCellAnchor editAs="oneCell">
    <xdr:from>
      <xdr:col>2</xdr:col>
      <xdr:colOff>514934</xdr:colOff>
      <xdr:row>49</xdr:row>
      <xdr:rowOff>156029</xdr:rowOff>
    </xdr:from>
    <xdr:to>
      <xdr:col>5</xdr:col>
      <xdr:colOff>482554</xdr:colOff>
      <xdr:row>64</xdr:row>
      <xdr:rowOff>134258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FBB7E8-E6A0-989D-1131-890DD957C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4134" y="7035800"/>
          <a:ext cx="1796420" cy="2373086"/>
        </a:xfrm>
        <a:prstGeom prst="rect">
          <a:avLst/>
        </a:prstGeom>
      </xdr:spPr>
    </xdr:pic>
    <xdr:clientData/>
  </xdr:twoCellAnchor>
  <xdr:twoCellAnchor editAs="oneCell">
    <xdr:from>
      <xdr:col>2</xdr:col>
      <xdr:colOff>507305</xdr:colOff>
      <xdr:row>64</xdr:row>
      <xdr:rowOff>116114</xdr:rowOff>
    </xdr:from>
    <xdr:to>
      <xdr:col>8</xdr:col>
      <xdr:colOff>323563</xdr:colOff>
      <xdr:row>98</xdr:row>
      <xdr:rowOff>105138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09354E-626A-901B-0D40-6FD3C934E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6505" y="9390743"/>
          <a:ext cx="3473858" cy="54173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182034</xdr:colOff>
      <xdr:row>48</xdr:row>
      <xdr:rowOff>0</xdr:rowOff>
    </xdr:from>
    <xdr:to>
      <xdr:col>16</xdr:col>
      <xdr:colOff>486834</xdr:colOff>
      <xdr:row>71</xdr:row>
      <xdr:rowOff>60935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1301" y="7759700"/>
          <a:ext cx="7505700" cy="3777802"/>
        </a:xfrm>
        <a:prstGeom prst="rect">
          <a:avLst/>
        </a:prstGeom>
      </xdr:spPr>
    </xdr:pic>
    <xdr:clientData/>
  </xdr:twoCellAnchor>
  <xdr:twoCellAnchor editAs="oneCell">
    <xdr:from>
      <xdr:col>1</xdr:col>
      <xdr:colOff>753533</xdr:colOff>
      <xdr:row>21</xdr:row>
      <xdr:rowOff>135467</xdr:rowOff>
    </xdr:from>
    <xdr:to>
      <xdr:col>11</xdr:col>
      <xdr:colOff>245533</xdr:colOff>
      <xdr:row>46</xdr:row>
      <xdr:rowOff>52378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551767"/>
          <a:ext cx="7493000" cy="39385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20" dT="2024-07-22T03:57:00.93" personId="{00000000-0000-0000-0000-000000000000}" id="{4E90398B-646D-5643-9D89-4C3AF79DEDF1}">
    <text>Commercial relaunch</text>
  </threadedComment>
  <threadedComment ref="BQ20" dT="2024-11-28T00:36:43.27" personId="{00000000-0000-0000-0000-000000000000}" id="{2F1EECAE-742F-D845-B651-0627E7436BC6}">
    <text>215k weekly rx</text>
  </threadedComment>
  <threadedComment ref="BP37" dT="2024-09-15T05:22:36.07" personId="{00000000-0000-0000-0000-000000000000}" id="{0ED5B048-AC4B-4050-A927-E9292D9D579E}">
    <text>5700 from discontinuation of ocedurenone</text>
  </threadedComment>
  <threadedComment ref="CW46" dT="2024-07-18T20:50:19.12" personId="{00000000-0000-0000-0000-000000000000}" id="{5BF5DD5A-50AF-5149-B40C-A7B446AB8565}">
    <text>Q423: 19-21% guidance</text>
  </threadedComment>
  <threadedComment ref="BG49" dT="2024-07-19T21:24:00.19" personId="{00000000-0000-0000-0000-000000000000}" id="{6D322A2D-C88D-2D40-8733-F5FA80A267B8}">
    <text>Originally 2283.3</text>
  </threadedComment>
  <threadedComment ref="BH49" dT="2024-07-22T03:40:37.58" personId="{00000000-0000-0000-0000-000000000000}" id="{37B6553A-D6E9-2D40-9C85-C131679F4E95}">
    <text>2279.7 1H22</text>
  </threadedComment>
  <threadedComment ref="BK49" dT="2024-07-19T21:23:31.59" personId="{00000000-0000-0000-0000-000000000000}" id="{70705836-FC25-054F-89C8-C9C6680D3790}">
    <text>Originally 2256.6</text>
  </threadedComment>
  <threadedComment ref="BL49" dT="2024-07-23T16:56:55.16" personId="{00000000-0000-0000-0000-000000000000}" id="{D0DA8EF7-B409-2949-8495-7811173631A2}">
    <text>2251.3 pre-split</text>
  </threadedComment>
  <threadedComment ref="BK51" dT="2023-05-16T03:34:34.88" personId="{00000000-0000-0000-0000-000000000000}" id="{FF59098B-CDEA-4E95-99E9-B148257A5966}">
    <text>25% CER</text>
  </threadedComment>
  <threadedComment ref="CW52" dT="2024-07-19T16:50:58.63" personId="{00000000-0000-0000-0000-000000000000}" id="{DACFF6BC-4E3F-0C45-93E4-F67CD65DD4CC}">
    <text>Q223: 27-33%
4/13/23: 24-30%
2/1/23: 13-19%</text>
  </threadedComment>
  <threadedComment ref="CX52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7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2578125" defaultRowHeight="12.75"/>
  <cols>
    <col min="1" max="1" width="4.85546875" bestFit="1" customWidth="1"/>
  </cols>
  <sheetData>
    <row r="1" spans="1:7">
      <c r="A1" s="59" t="s">
        <v>55</v>
      </c>
    </row>
    <row r="2" spans="1:7">
      <c r="B2" s="60" t="s">
        <v>216</v>
      </c>
      <c r="C2" s="60" t="s">
        <v>217</v>
      </c>
      <c r="D2" s="60" t="s">
        <v>360</v>
      </c>
      <c r="E2" s="60" t="s">
        <v>1</v>
      </c>
      <c r="F2" s="60" t="s">
        <v>378</v>
      </c>
      <c r="G2" s="60" t="s">
        <v>319</v>
      </c>
    </row>
    <row r="3" spans="1:7">
      <c r="C3" s="60" t="s">
        <v>361</v>
      </c>
      <c r="D3" s="60" t="s">
        <v>362</v>
      </c>
      <c r="E3" s="60" t="s">
        <v>363</v>
      </c>
    </row>
    <row r="4" spans="1:7">
      <c r="E4" s="60" t="s">
        <v>380</v>
      </c>
      <c r="F4" s="60" t="s">
        <v>379</v>
      </c>
    </row>
    <row r="5" spans="1:7">
      <c r="E5" s="60" t="s">
        <v>402</v>
      </c>
      <c r="F5" s="60" t="s">
        <v>401</v>
      </c>
      <c r="G5" s="60" t="s">
        <v>403</v>
      </c>
    </row>
    <row r="6" spans="1:7">
      <c r="B6" s="60" t="s">
        <v>410</v>
      </c>
      <c r="E6" s="60" t="s">
        <v>402</v>
      </c>
    </row>
    <row r="8" spans="1:7" s="24" customFormat="1">
      <c r="B8" s="19" t="s">
        <v>331</v>
      </c>
      <c r="C8" s="26" t="s">
        <v>332</v>
      </c>
      <c r="D8" s="26"/>
      <c r="E8" s="24" t="s">
        <v>435</v>
      </c>
      <c r="F8" s="26"/>
      <c r="G8" s="30"/>
    </row>
    <row r="9" spans="1:7">
      <c r="B9" s="26" t="s">
        <v>261</v>
      </c>
      <c r="C9" s="26" t="s">
        <v>334</v>
      </c>
      <c r="D9" s="26" t="s">
        <v>53</v>
      </c>
      <c r="E9" s="74" t="s">
        <v>439</v>
      </c>
      <c r="F9" s="30" t="s">
        <v>364</v>
      </c>
    </row>
    <row r="10" spans="1:7">
      <c r="B10" s="60" t="s">
        <v>480</v>
      </c>
      <c r="D10" s="76" t="s">
        <v>53</v>
      </c>
    </row>
    <row r="11" spans="1:7">
      <c r="B11" s="60" t="s">
        <v>481</v>
      </c>
    </row>
    <row r="12" spans="1:7">
      <c r="B12" t="s">
        <v>482</v>
      </c>
      <c r="F12" s="60" t="s">
        <v>478</v>
      </c>
    </row>
    <row r="13" spans="1:7">
      <c r="B13" t="s">
        <v>483</v>
      </c>
      <c r="E13" t="s">
        <v>222</v>
      </c>
    </row>
    <row r="14" spans="1:7">
      <c r="B14" t="s">
        <v>484</v>
      </c>
      <c r="E14" t="s">
        <v>222</v>
      </c>
    </row>
    <row r="15" spans="1:7">
      <c r="B15" t="s">
        <v>489</v>
      </c>
    </row>
    <row r="16" spans="1:7">
      <c r="B16" t="s">
        <v>490</v>
      </c>
    </row>
    <row r="17" spans="2:6">
      <c r="B17" t="s">
        <v>491</v>
      </c>
      <c r="E17" s="60" t="s">
        <v>179</v>
      </c>
    </row>
    <row r="18" spans="2:6">
      <c r="B18" s="60" t="s">
        <v>492</v>
      </c>
      <c r="F18" s="60" t="s">
        <v>18</v>
      </c>
    </row>
    <row r="19" spans="2:6">
      <c r="B19" s="60" t="s">
        <v>493</v>
      </c>
      <c r="F19" s="60"/>
    </row>
    <row r="20" spans="2:6">
      <c r="B20" s="60" t="s">
        <v>494</v>
      </c>
      <c r="C20" s="60" t="s">
        <v>316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265</v>
      </c>
    </row>
    <row r="5" spans="1:3">
      <c r="B5" s="24" t="s">
        <v>230</v>
      </c>
      <c r="C5" s="24" t="s">
        <v>266</v>
      </c>
    </row>
    <row r="6" spans="1:3">
      <c r="B6" s="1" t="s">
        <v>157</v>
      </c>
    </row>
    <row r="7" spans="1:3">
      <c r="C7" s="4" t="s">
        <v>158</v>
      </c>
    </row>
    <row r="9" spans="1:3">
      <c r="C9" s="4" t="s">
        <v>159</v>
      </c>
    </row>
    <row r="11" spans="1:3">
      <c r="C11" s="4" t="s">
        <v>160</v>
      </c>
    </row>
    <row r="13" spans="1:3">
      <c r="C13" s="4" t="s">
        <v>161</v>
      </c>
    </row>
    <row r="15" spans="1: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2578125" defaultRowHeight="12.75"/>
  <cols>
    <col min="1" max="1" width="4.85546875" bestFit="1" customWidth="1"/>
    <col min="2" max="2" width="8.71093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372</v>
      </c>
    </row>
    <row r="3" spans="1:3">
      <c r="B3" s="60" t="s">
        <v>1</v>
      </c>
      <c r="C3" s="60" t="s">
        <v>389</v>
      </c>
    </row>
    <row r="4" spans="1:3">
      <c r="B4" s="60" t="s">
        <v>319</v>
      </c>
      <c r="C4" s="60" t="s">
        <v>278</v>
      </c>
    </row>
    <row r="5" spans="1:3">
      <c r="B5" s="60" t="s">
        <v>339</v>
      </c>
      <c r="C5" s="60" t="s">
        <v>411</v>
      </c>
    </row>
    <row r="6" spans="1:3">
      <c r="C6" s="60" t="s">
        <v>412</v>
      </c>
    </row>
    <row r="7" spans="1:3">
      <c r="C7" s="60" t="s">
        <v>503</v>
      </c>
    </row>
    <row r="10" spans="1:3">
      <c r="C10" s="63" t="s">
        <v>388</v>
      </c>
    </row>
    <row r="50" spans="5:5" ht="15">
      <c r="E50" s="66" t="s">
        <v>373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defaultColWidth="9.140625" defaultRowHeight="12.75"/>
  <cols>
    <col min="1" max="1" width="5" style="60" bestFit="1" customWidth="1"/>
    <col min="2" max="2" width="12.28515625" style="60" bestFit="1" customWidth="1"/>
    <col min="3" max="16384" width="9.140625" style="60"/>
  </cols>
  <sheetData>
    <row r="1" spans="1:3">
      <c r="A1" s="59" t="s">
        <v>55</v>
      </c>
    </row>
    <row r="2" spans="1:3">
      <c r="B2" s="60" t="s">
        <v>216</v>
      </c>
      <c r="C2" s="60" t="s">
        <v>427</v>
      </c>
    </row>
    <row r="3" spans="1:3">
      <c r="B3" s="60" t="s">
        <v>1</v>
      </c>
      <c r="C3" s="60" t="s">
        <v>549</v>
      </c>
    </row>
    <row r="4" spans="1:3">
      <c r="B4" s="60" t="s">
        <v>324</v>
      </c>
      <c r="C4" s="60" t="s">
        <v>552</v>
      </c>
    </row>
    <row r="5" spans="1:3">
      <c r="B5" s="60" t="s">
        <v>157</v>
      </c>
    </row>
    <row r="6" spans="1:3">
      <c r="C6" s="63" t="s">
        <v>440</v>
      </c>
    </row>
    <row r="7" spans="1:3">
      <c r="C7" s="60" t="s">
        <v>441</v>
      </c>
    </row>
    <row r="8" spans="1:3">
      <c r="C8" s="60" t="s">
        <v>442</v>
      </c>
    </row>
    <row r="11" spans="1:3">
      <c r="C11" s="63" t="s">
        <v>548</v>
      </c>
    </row>
    <row r="12" spans="1:3">
      <c r="C12" s="60" t="s">
        <v>550</v>
      </c>
    </row>
    <row r="13" spans="1:3">
      <c r="C13" s="60" t="s">
        <v>551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defaultColWidth="11.42578125" defaultRowHeight="12.75"/>
  <cols>
    <col min="1" max="1" width="4.85546875" bestFit="1" customWidth="1"/>
    <col min="2" max="2" width="13.42578125" customWidth="1"/>
  </cols>
  <sheetData>
    <row r="1" spans="1:3">
      <c r="A1" s="59" t="s">
        <v>55</v>
      </c>
    </row>
    <row r="2" spans="1:3">
      <c r="B2" s="60" t="s">
        <v>216</v>
      </c>
      <c r="C2" s="60" t="s">
        <v>317</v>
      </c>
    </row>
    <row r="3" spans="1:3">
      <c r="B3" s="60" t="s">
        <v>217</v>
      </c>
      <c r="C3" s="60" t="s">
        <v>277</v>
      </c>
    </row>
    <row r="4" spans="1:3">
      <c r="B4" s="60" t="s">
        <v>219</v>
      </c>
      <c r="C4" s="60" t="s">
        <v>278</v>
      </c>
    </row>
    <row r="5" spans="1:3">
      <c r="B5" s="60" t="s">
        <v>223</v>
      </c>
      <c r="C5" s="60" t="s">
        <v>470</v>
      </c>
    </row>
    <row r="6" spans="1:3">
      <c r="B6" s="60" t="s">
        <v>319</v>
      </c>
      <c r="C6" s="60" t="s">
        <v>320</v>
      </c>
    </row>
    <row r="7" spans="1:3">
      <c r="B7" s="60" t="s">
        <v>339</v>
      </c>
      <c r="C7" s="60" t="s">
        <v>462</v>
      </c>
    </row>
    <row r="8" spans="1:3">
      <c r="B8" s="60"/>
      <c r="C8" s="60" t="s">
        <v>463</v>
      </c>
    </row>
    <row r="9" spans="1:3">
      <c r="B9" s="60" t="s">
        <v>324</v>
      </c>
      <c r="C9" s="60" t="s">
        <v>464</v>
      </c>
    </row>
    <row r="10" spans="1:3">
      <c r="B10" s="60"/>
      <c r="C10" s="60" t="s">
        <v>465</v>
      </c>
    </row>
    <row r="11" spans="1:3">
      <c r="B11" s="60"/>
      <c r="C11" s="60" t="s">
        <v>475</v>
      </c>
    </row>
    <row r="12" spans="1:3">
      <c r="B12" s="60"/>
      <c r="C12" s="60" t="s">
        <v>529</v>
      </c>
    </row>
    <row r="13" spans="1:3">
      <c r="B13" s="60" t="s">
        <v>157</v>
      </c>
    </row>
    <row r="14" spans="1:3">
      <c r="C14" s="63" t="s">
        <v>279</v>
      </c>
    </row>
    <row r="15" spans="1:3">
      <c r="C15" s="60" t="s">
        <v>280</v>
      </c>
    </row>
    <row r="16" spans="1:3">
      <c r="C16" s="60" t="s">
        <v>430</v>
      </c>
    </row>
    <row r="17" spans="3:3">
      <c r="C17" s="60"/>
    </row>
    <row r="18" spans="3:3">
      <c r="C18" s="63" t="s">
        <v>341</v>
      </c>
    </row>
    <row r="19" spans="3:3">
      <c r="C19" s="60" t="s">
        <v>430</v>
      </c>
    </row>
    <row r="21" spans="3:3">
      <c r="C21" s="63" t="s">
        <v>375</v>
      </c>
    </row>
    <row r="22" spans="3:3">
      <c r="C22" s="60" t="s">
        <v>376</v>
      </c>
    </row>
    <row r="24" spans="3:3">
      <c r="C24" s="63" t="s">
        <v>471</v>
      </c>
    </row>
    <row r="25" spans="3:3">
      <c r="C25" s="60" t="s">
        <v>472</v>
      </c>
    </row>
    <row r="26" spans="3:3">
      <c r="C26" s="60" t="s">
        <v>473</v>
      </c>
    </row>
    <row r="27" spans="3:3">
      <c r="C27" s="60" t="s">
        <v>474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ColWidth="8.85546875" defaultRowHeight="12.75"/>
  <cols>
    <col min="1" max="1" width="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249</v>
      </c>
    </row>
    <row r="3" spans="1:3">
      <c r="B3" s="60" t="s">
        <v>217</v>
      </c>
      <c r="C3" s="60" t="s">
        <v>451</v>
      </c>
    </row>
    <row r="4" spans="1:3">
      <c r="B4" s="60" t="s">
        <v>1</v>
      </c>
      <c r="C4" s="60" t="s">
        <v>179</v>
      </c>
    </row>
    <row r="5" spans="1:3">
      <c r="B5" s="60" t="s">
        <v>223</v>
      </c>
      <c r="C5" s="60" t="s">
        <v>452</v>
      </c>
    </row>
    <row r="6" spans="1:3">
      <c r="B6" s="60" t="s">
        <v>453</v>
      </c>
      <c r="C6" s="60" t="s">
        <v>455</v>
      </c>
    </row>
    <row r="7" spans="1:3">
      <c r="B7" s="60" t="s">
        <v>219</v>
      </c>
      <c r="C7" s="60" t="s">
        <v>454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zoomScale="145" zoomScaleNormal="145" workbookViewId="0"/>
  </sheetViews>
  <sheetFormatPr defaultColWidth="10.85546875" defaultRowHeight="12.75"/>
  <cols>
    <col min="1" max="1" width="4.85546875" style="60" bestFit="1" customWidth="1"/>
    <col min="2" max="2" width="12.42578125" style="60" bestFit="1" customWidth="1"/>
    <col min="3" max="16384" width="10.85546875" style="60"/>
  </cols>
  <sheetData>
    <row r="1" spans="1:3">
      <c r="A1" s="59" t="s">
        <v>55</v>
      </c>
    </row>
    <row r="2" spans="1:3">
      <c r="B2" s="60" t="s">
        <v>216</v>
      </c>
      <c r="C2" s="60" t="s">
        <v>584</v>
      </c>
    </row>
    <row r="3" spans="1:3">
      <c r="B3" s="60" t="s">
        <v>223</v>
      </c>
      <c r="C3" s="60" t="s">
        <v>273</v>
      </c>
    </row>
    <row r="4" spans="1:3">
      <c r="B4" s="60" t="s">
        <v>219</v>
      </c>
      <c r="C4" s="60" t="s">
        <v>274</v>
      </c>
    </row>
    <row r="5" spans="1:3">
      <c r="B5" s="60" t="s">
        <v>157</v>
      </c>
    </row>
    <row r="6" spans="1:3">
      <c r="C6" s="63" t="s">
        <v>275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</row>
    <row r="3" spans="1:3">
      <c r="B3" s="60" t="s">
        <v>217</v>
      </c>
      <c r="C3" s="60" t="s">
        <v>257</v>
      </c>
    </row>
    <row r="4" spans="1:3">
      <c r="B4" s="60" t="s">
        <v>1</v>
      </c>
      <c r="C4" s="60" t="s">
        <v>258</v>
      </c>
    </row>
    <row r="5" spans="1:3">
      <c r="B5" s="60" t="s">
        <v>219</v>
      </c>
      <c r="C5" s="60" t="s">
        <v>437</v>
      </c>
    </row>
    <row r="6" spans="1:3">
      <c r="B6" s="60" t="s">
        <v>157</v>
      </c>
    </row>
    <row r="7" spans="1:3">
      <c r="C7" s="63" t="s">
        <v>296</v>
      </c>
    </row>
    <row r="8" spans="1:3">
      <c r="C8" s="60" t="s">
        <v>295</v>
      </c>
    </row>
    <row r="11" spans="1:3">
      <c r="C11" s="63" t="s">
        <v>298</v>
      </c>
    </row>
    <row r="12" spans="1:3">
      <c r="C12" s="60" t="s">
        <v>297</v>
      </c>
    </row>
    <row r="15" spans="1:3">
      <c r="C15" s="63" t="s">
        <v>413</v>
      </c>
    </row>
    <row r="16" spans="1:3">
      <c r="C16" s="60" t="s">
        <v>414</v>
      </c>
    </row>
    <row r="17" spans="3:3">
      <c r="C17" s="60" t="s">
        <v>415</v>
      </c>
    </row>
    <row r="20" spans="3:3">
      <c r="C20" s="63" t="s">
        <v>438</v>
      </c>
    </row>
    <row r="21" spans="3:3">
      <c r="C21" s="60" t="s">
        <v>436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2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582</v>
      </c>
    </row>
    <row r="3" spans="1:3">
      <c r="B3" s="60" t="s">
        <v>217</v>
      </c>
      <c r="C3" s="60" t="s">
        <v>321</v>
      </c>
    </row>
    <row r="4" spans="1:3">
      <c r="B4" s="60" t="s">
        <v>1</v>
      </c>
      <c r="C4" s="60" t="s">
        <v>322</v>
      </c>
    </row>
    <row r="5" spans="1:3">
      <c r="B5" s="60" t="s">
        <v>223</v>
      </c>
      <c r="C5" s="60" t="s">
        <v>537</v>
      </c>
    </row>
    <row r="6" spans="1:3">
      <c r="B6" s="60" t="s">
        <v>219</v>
      </c>
      <c r="C6" s="60" t="s">
        <v>356</v>
      </c>
    </row>
    <row r="7" spans="1:3">
      <c r="B7" s="60" t="s">
        <v>157</v>
      </c>
    </row>
    <row r="8" spans="1:3">
      <c r="C8" s="63" t="s">
        <v>352</v>
      </c>
    </row>
    <row r="9" spans="1:3">
      <c r="C9" s="60" t="s">
        <v>351</v>
      </c>
    </row>
    <row r="10" spans="1:3">
      <c r="C10" s="60" t="s">
        <v>353</v>
      </c>
    </row>
    <row r="12" spans="1:3">
      <c r="C12" s="63" t="s">
        <v>354</v>
      </c>
    </row>
    <row r="13" spans="1:3">
      <c r="C13" s="60" t="s">
        <v>355</v>
      </c>
    </row>
    <row r="15" spans="1:3">
      <c r="C15" s="63" t="s">
        <v>539</v>
      </c>
    </row>
    <row r="16" spans="1:3">
      <c r="C16" s="60" t="s">
        <v>538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K81"/>
  <sheetViews>
    <sheetView tabSelected="1" zoomScale="160" zoomScaleNormal="160" workbookViewId="0">
      <selection activeCell="J3" sqref="J3"/>
    </sheetView>
  </sheetViews>
  <sheetFormatPr defaultColWidth="9.140625" defaultRowHeight="12.75"/>
  <cols>
    <col min="1" max="1" width="3.28515625" style="24" customWidth="1"/>
    <col min="2" max="2" width="37.42578125" style="24" customWidth="1"/>
    <col min="3" max="3" width="25.42578125" style="26" customWidth="1"/>
    <col min="4" max="4" width="14.7109375" style="26" customWidth="1"/>
    <col min="5" max="5" width="11.140625" style="24" customWidth="1"/>
    <col min="6" max="6" width="9.140625" style="24"/>
    <col min="7" max="7" width="14.85546875" style="24" customWidth="1"/>
    <col min="8" max="8" width="7.28515625" style="24" customWidth="1"/>
    <col min="9" max="9" width="11.28515625" style="24" customWidth="1"/>
    <col min="10" max="10" width="10" style="24" customWidth="1"/>
    <col min="11" max="11" width="7.7109375" style="24" customWidth="1"/>
    <col min="12" max="16384" width="9.140625" style="24"/>
  </cols>
  <sheetData>
    <row r="1" spans="2:11">
      <c r="J1" s="25"/>
    </row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441.4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4461</v>
      </c>
      <c r="K3" s="29" t="s">
        <v>241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1969085.4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79634</v>
      </c>
      <c r="K5" s="29" t="s">
        <v>241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336</v>
      </c>
      <c r="G6" s="27">
        <v>1</v>
      </c>
      <c r="I6" s="24" t="s">
        <v>19</v>
      </c>
      <c r="J6" s="28">
        <v>61453</v>
      </c>
      <c r="K6" s="29" t="s">
        <v>241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1950904.4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486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337</v>
      </c>
      <c r="G10" s="27">
        <v>1</v>
      </c>
      <c r="I10" s="24" t="s">
        <v>264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337</v>
      </c>
      <c r="G11" s="27">
        <v>1</v>
      </c>
      <c r="I11" s="24" t="s">
        <v>252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263</v>
      </c>
      <c r="J12" s="25"/>
    </row>
    <row r="13" spans="2:11">
      <c r="B13" s="3" t="s">
        <v>276</v>
      </c>
      <c r="C13" s="26" t="s">
        <v>8</v>
      </c>
      <c r="D13" s="26" t="s">
        <v>9</v>
      </c>
      <c r="E13" s="26" t="s">
        <v>428</v>
      </c>
      <c r="F13" s="26" t="s">
        <v>253</v>
      </c>
      <c r="G13" s="27">
        <v>1</v>
      </c>
      <c r="I13" s="24" t="s">
        <v>513</v>
      </c>
    </row>
    <row r="14" spans="2:11">
      <c r="B14" s="19" t="s">
        <v>243</v>
      </c>
      <c r="C14" s="26" t="s">
        <v>8</v>
      </c>
      <c r="E14" s="20"/>
      <c r="F14" s="26"/>
      <c r="G14" s="27"/>
      <c r="I14" s="24" t="s">
        <v>514</v>
      </c>
      <c r="J14" s="25"/>
    </row>
    <row r="15" spans="2:11">
      <c r="B15" s="19" t="s">
        <v>244</v>
      </c>
      <c r="C15" s="26" t="s">
        <v>8</v>
      </c>
      <c r="E15" s="20"/>
      <c r="F15" s="26"/>
      <c r="G15" s="27"/>
      <c r="I15" s="24" t="s">
        <v>515</v>
      </c>
      <c r="J15" s="25"/>
    </row>
    <row r="16" spans="2:11">
      <c r="B16" s="19" t="s">
        <v>238</v>
      </c>
      <c r="C16" s="26" t="s">
        <v>8</v>
      </c>
      <c r="D16" s="26" t="s">
        <v>18</v>
      </c>
      <c r="E16" s="20"/>
      <c r="F16" s="26" t="s">
        <v>336</v>
      </c>
      <c r="G16" s="27">
        <v>1</v>
      </c>
      <c r="I16" s="24" t="s">
        <v>516</v>
      </c>
      <c r="J16" s="25"/>
    </row>
    <row r="17" spans="2:10">
      <c r="B17" s="19" t="s">
        <v>487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517</v>
      </c>
    </row>
    <row r="18" spans="2:10">
      <c r="B18" s="19" t="s">
        <v>245</v>
      </c>
      <c r="E18" s="26"/>
      <c r="F18" s="26"/>
      <c r="G18" s="30"/>
    </row>
    <row r="19" spans="2:10">
      <c r="B19" s="19" t="s">
        <v>246</v>
      </c>
      <c r="E19" s="26"/>
      <c r="F19" s="26"/>
      <c r="G19" s="30"/>
    </row>
    <row r="20" spans="2:10">
      <c r="B20" s="19" t="s">
        <v>247</v>
      </c>
      <c r="E20" s="26"/>
      <c r="F20" s="26"/>
      <c r="G20" s="30"/>
    </row>
    <row r="21" spans="2:10">
      <c r="B21" s="3" t="s">
        <v>249</v>
      </c>
      <c r="C21" s="26" t="s">
        <v>179</v>
      </c>
      <c r="D21" s="26" t="s">
        <v>456</v>
      </c>
      <c r="E21" s="26">
        <v>2019</v>
      </c>
      <c r="F21" s="26" t="s">
        <v>454</v>
      </c>
      <c r="G21" s="30"/>
      <c r="I21" s="24" t="s">
        <v>262</v>
      </c>
    </row>
    <row r="22" spans="2:10">
      <c r="B22" s="19" t="s">
        <v>359</v>
      </c>
      <c r="C22" s="26" t="s">
        <v>180</v>
      </c>
      <c r="E22" s="26"/>
      <c r="F22" s="26"/>
      <c r="G22" s="30"/>
      <c r="I22" s="24" t="s">
        <v>338</v>
      </c>
    </row>
    <row r="23" spans="2:10">
      <c r="B23" s="19" t="s">
        <v>254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248</v>
      </c>
      <c r="E24" s="26"/>
      <c r="F24" s="26"/>
      <c r="G24" s="30"/>
      <c r="I24" s="24" t="s">
        <v>479</v>
      </c>
    </row>
    <row r="25" spans="2:10">
      <c r="B25" s="3" t="s">
        <v>330</v>
      </c>
      <c r="C25" s="26" t="s">
        <v>24</v>
      </c>
      <c r="E25" s="26" t="s">
        <v>387</v>
      </c>
      <c r="F25" s="26"/>
      <c r="G25" s="30"/>
      <c r="I25" s="24" t="s">
        <v>327</v>
      </c>
    </row>
    <row r="26" spans="2:10">
      <c r="B26" s="19" t="s">
        <v>250</v>
      </c>
      <c r="E26" s="26"/>
      <c r="F26" s="26"/>
      <c r="G26" s="30"/>
    </row>
    <row r="27" spans="2:10">
      <c r="B27" s="19" t="s">
        <v>251</v>
      </c>
      <c r="E27" s="26"/>
      <c r="F27" s="26"/>
      <c r="G27" s="30"/>
    </row>
    <row r="28" spans="2:10">
      <c r="B28" s="19" t="s">
        <v>399</v>
      </c>
      <c r="C28" s="26" t="s">
        <v>400</v>
      </c>
      <c r="E28" s="26" t="s">
        <v>467</v>
      </c>
      <c r="F28" s="26"/>
      <c r="G28" s="30" t="s">
        <v>466</v>
      </c>
      <c r="I28" s="24" t="s">
        <v>396</v>
      </c>
    </row>
    <row r="29" spans="2:10">
      <c r="B29" s="3" t="s">
        <v>505</v>
      </c>
      <c r="C29" s="26" t="s">
        <v>27</v>
      </c>
      <c r="E29" s="26" t="s">
        <v>431</v>
      </c>
      <c r="F29" s="26"/>
      <c r="G29" s="30"/>
      <c r="I29" s="24" t="s">
        <v>395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398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257</v>
      </c>
      <c r="C32" s="26" t="s">
        <v>433</v>
      </c>
      <c r="E32" s="26" t="s">
        <v>34</v>
      </c>
      <c r="F32" s="26"/>
      <c r="G32" s="27"/>
    </row>
    <row r="33" spans="2:7">
      <c r="B33" s="3" t="s">
        <v>527</v>
      </c>
      <c r="C33" s="26" t="s">
        <v>8</v>
      </c>
      <c r="E33" s="26" t="s">
        <v>528</v>
      </c>
      <c r="F33" s="26"/>
      <c r="G33" s="27"/>
    </row>
    <row r="34" spans="2:7">
      <c r="B34" s="3" t="s">
        <v>259</v>
      </c>
      <c r="C34" s="26" t="s">
        <v>260</v>
      </c>
      <c r="D34" s="26" t="s">
        <v>268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284</v>
      </c>
      <c r="C36" s="26" t="s">
        <v>8</v>
      </c>
      <c r="D36" s="26" t="s">
        <v>289</v>
      </c>
      <c r="E36" s="26" t="s">
        <v>41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419</v>
      </c>
      <c r="C39" s="26" t="s">
        <v>420</v>
      </c>
      <c r="E39" s="26" t="s">
        <v>41</v>
      </c>
      <c r="F39" s="26"/>
      <c r="G39" s="30" t="s">
        <v>526</v>
      </c>
    </row>
    <row r="40" spans="2:7">
      <c r="B40" s="3" t="s">
        <v>427</v>
      </c>
      <c r="E40" s="26"/>
      <c r="F40" s="26"/>
      <c r="G40" s="30"/>
    </row>
    <row r="41" spans="2:7">
      <c r="B41" s="19" t="s">
        <v>328</v>
      </c>
      <c r="D41" s="26" t="s">
        <v>357</v>
      </c>
      <c r="E41" s="26" t="s">
        <v>53</v>
      </c>
      <c r="F41" s="26"/>
      <c r="G41" s="30"/>
    </row>
    <row r="42" spans="2:7">
      <c r="B42" s="19" t="s">
        <v>390</v>
      </c>
      <c r="C42" s="26" t="s">
        <v>260</v>
      </c>
      <c r="D42" s="26" t="s">
        <v>335</v>
      </c>
      <c r="E42" s="26" t="s">
        <v>53</v>
      </c>
      <c r="F42" s="26"/>
      <c r="G42" s="30" t="s">
        <v>391</v>
      </c>
    </row>
    <row r="43" spans="2:7">
      <c r="B43" s="19" t="s">
        <v>518</v>
      </c>
      <c r="C43" s="26" t="s">
        <v>260</v>
      </c>
      <c r="D43" s="26" t="s">
        <v>518</v>
      </c>
      <c r="E43" s="26" t="s">
        <v>53</v>
      </c>
      <c r="F43" s="26"/>
      <c r="G43" s="30"/>
    </row>
    <row r="44" spans="2:7">
      <c r="B44" s="19" t="s">
        <v>521</v>
      </c>
      <c r="C44" s="26" t="s">
        <v>179</v>
      </c>
      <c r="D44" s="26" t="s">
        <v>522</v>
      </c>
      <c r="E44" s="26" t="s">
        <v>53</v>
      </c>
      <c r="F44" s="26"/>
      <c r="G44" s="30"/>
    </row>
    <row r="45" spans="2:7">
      <c r="B45" s="19"/>
      <c r="C45" s="26" t="s">
        <v>392</v>
      </c>
      <c r="D45" s="26" t="s">
        <v>335</v>
      </c>
      <c r="E45" s="26" t="s">
        <v>53</v>
      </c>
      <c r="F45" s="26"/>
      <c r="G45" s="30" t="s">
        <v>393</v>
      </c>
    </row>
    <row r="46" spans="2:7">
      <c r="B46" s="19" t="s">
        <v>523</v>
      </c>
      <c r="C46" s="26" t="s">
        <v>524</v>
      </c>
      <c r="D46" s="26" t="s">
        <v>525</v>
      </c>
      <c r="E46" s="26" t="s">
        <v>53</v>
      </c>
      <c r="F46" s="26"/>
      <c r="G46" s="30"/>
    </row>
    <row r="47" spans="2:7">
      <c r="B47" s="19" t="s">
        <v>394</v>
      </c>
      <c r="E47" s="26" t="s">
        <v>53</v>
      </c>
      <c r="F47" s="26"/>
      <c r="G47" s="30"/>
    </row>
    <row r="48" spans="2:7">
      <c r="B48" s="3" t="s">
        <v>506</v>
      </c>
      <c r="C48" s="26" t="s">
        <v>358</v>
      </c>
      <c r="D48" s="26" t="s">
        <v>417</v>
      </c>
      <c r="E48" s="26" t="s">
        <v>41</v>
      </c>
      <c r="F48" s="26"/>
      <c r="G48" s="30"/>
    </row>
    <row r="49" spans="2:7">
      <c r="B49" s="19"/>
      <c r="C49" s="26" t="s">
        <v>443</v>
      </c>
      <c r="D49" s="26" t="s">
        <v>444</v>
      </c>
      <c r="E49" s="26" t="s">
        <v>53</v>
      </c>
      <c r="F49" s="26"/>
      <c r="G49" s="30"/>
    </row>
    <row r="50" spans="2:7">
      <c r="B50" s="19" t="s">
        <v>45</v>
      </c>
      <c r="C50" s="26" t="s">
        <v>46</v>
      </c>
      <c r="E50" s="26"/>
      <c r="F50" s="26"/>
      <c r="G50" s="30"/>
    </row>
    <row r="51" spans="2:7">
      <c r="B51" s="83" t="s">
        <v>576</v>
      </c>
      <c r="C51" s="84" t="s">
        <v>577</v>
      </c>
      <c r="D51" s="84" t="s">
        <v>290</v>
      </c>
      <c r="E51" s="84" t="s">
        <v>41</v>
      </c>
      <c r="F51" s="85"/>
      <c r="G51" s="86" t="s">
        <v>585</v>
      </c>
    </row>
    <row r="52" spans="2:7">
      <c r="B52" s="3" t="s">
        <v>321</v>
      </c>
      <c r="C52" s="26" t="s">
        <v>8</v>
      </c>
      <c r="D52" s="26" t="s">
        <v>536</v>
      </c>
      <c r="E52" s="26" t="s">
        <v>41</v>
      </c>
      <c r="F52" s="26"/>
      <c r="G52" s="30"/>
    </row>
    <row r="53" spans="2:7">
      <c r="B53" s="19" t="s">
        <v>586</v>
      </c>
      <c r="C53" s="26" t="s">
        <v>8</v>
      </c>
      <c r="D53" s="82" t="s">
        <v>575</v>
      </c>
      <c r="E53" s="26" t="s">
        <v>53</v>
      </c>
      <c r="F53" s="26" t="s">
        <v>597</v>
      </c>
      <c r="G53" s="30"/>
    </row>
    <row r="54" spans="2:7">
      <c r="B54" s="19" t="s">
        <v>579</v>
      </c>
      <c r="C54" s="26" t="s">
        <v>222</v>
      </c>
      <c r="D54" s="82" t="s">
        <v>604</v>
      </c>
      <c r="E54" s="26" t="s">
        <v>53</v>
      </c>
      <c r="F54" s="26"/>
      <c r="G54" s="30"/>
    </row>
    <row r="55" spans="2:7">
      <c r="B55" s="19" t="s">
        <v>574</v>
      </c>
      <c r="C55" s="26" t="s">
        <v>222</v>
      </c>
      <c r="D55" s="82" t="s">
        <v>575</v>
      </c>
      <c r="E55" s="26" t="s">
        <v>53</v>
      </c>
      <c r="F55" s="26" t="s">
        <v>544</v>
      </c>
      <c r="G55" s="30"/>
    </row>
    <row r="56" spans="2:7">
      <c r="B56" s="19"/>
      <c r="C56" s="26" t="s">
        <v>540</v>
      </c>
      <c r="D56" s="26" t="s">
        <v>541</v>
      </c>
      <c r="E56" s="26" t="s">
        <v>53</v>
      </c>
      <c r="F56" s="26" t="s">
        <v>544</v>
      </c>
      <c r="G56" s="30" t="s">
        <v>545</v>
      </c>
    </row>
    <row r="57" spans="2:7">
      <c r="B57" s="3" t="s">
        <v>318</v>
      </c>
      <c r="C57" s="26" t="s">
        <v>8</v>
      </c>
      <c r="D57" s="26" t="s">
        <v>290</v>
      </c>
      <c r="E57" s="26" t="s">
        <v>41</v>
      </c>
      <c r="F57" s="26" t="s">
        <v>253</v>
      </c>
      <c r="G57" s="30"/>
    </row>
    <row r="58" spans="2:7">
      <c r="B58" s="19" t="s">
        <v>47</v>
      </c>
      <c r="C58" s="26" t="s">
        <v>48</v>
      </c>
      <c r="D58" s="26" t="s">
        <v>33</v>
      </c>
      <c r="E58" s="26" t="s">
        <v>34</v>
      </c>
      <c r="F58" s="26"/>
      <c r="G58" s="30"/>
    </row>
    <row r="59" spans="2:7">
      <c r="B59" s="19" t="s">
        <v>587</v>
      </c>
      <c r="C59" s="26" t="s">
        <v>588</v>
      </c>
      <c r="E59" s="26" t="s">
        <v>53</v>
      </c>
      <c r="F59" s="26"/>
      <c r="G59" s="30"/>
    </row>
    <row r="60" spans="2:7">
      <c r="B60" s="19" t="s">
        <v>581</v>
      </c>
      <c r="C60" s="26" t="s">
        <v>580</v>
      </c>
      <c r="D60" s="82" t="s">
        <v>575</v>
      </c>
      <c r="E60" s="26" t="s">
        <v>53</v>
      </c>
      <c r="F60" s="26" t="s">
        <v>597</v>
      </c>
      <c r="G60" s="30"/>
    </row>
    <row r="61" spans="2:7">
      <c r="B61" s="19" t="s">
        <v>593</v>
      </c>
      <c r="E61" s="26" t="s">
        <v>53</v>
      </c>
      <c r="F61" s="26"/>
      <c r="G61" s="30"/>
    </row>
    <row r="62" spans="2:7">
      <c r="B62" s="19" t="s">
        <v>590</v>
      </c>
      <c r="E62" s="26" t="s">
        <v>53</v>
      </c>
      <c r="F62" s="26"/>
      <c r="G62" s="30"/>
    </row>
    <row r="63" spans="2:7">
      <c r="B63" s="19" t="s">
        <v>543</v>
      </c>
      <c r="C63" s="26" t="s">
        <v>222</v>
      </c>
      <c r="D63" s="26" t="s">
        <v>543</v>
      </c>
      <c r="E63" s="26" t="s">
        <v>53</v>
      </c>
      <c r="F63" s="26" t="s">
        <v>544</v>
      </c>
      <c r="G63" s="30"/>
    </row>
    <row r="64" spans="2:7">
      <c r="B64" s="19" t="s">
        <v>583</v>
      </c>
      <c r="C64" s="26" t="s">
        <v>603</v>
      </c>
      <c r="D64" s="26" t="s">
        <v>602</v>
      </c>
      <c r="E64" s="26" t="s">
        <v>53</v>
      </c>
      <c r="F64" s="26"/>
      <c r="G64" s="30"/>
    </row>
    <row r="65" spans="2:10">
      <c r="B65" s="19" t="s">
        <v>49</v>
      </c>
      <c r="C65" s="26" t="s">
        <v>50</v>
      </c>
      <c r="D65" s="26" t="s">
        <v>33</v>
      </c>
      <c r="E65" s="26" t="s">
        <v>41</v>
      </c>
      <c r="F65" s="26"/>
      <c r="G65" s="30"/>
    </row>
    <row r="66" spans="2:10">
      <c r="B66" s="19" t="s">
        <v>591</v>
      </c>
      <c r="C66" s="26" t="s">
        <v>606</v>
      </c>
      <c r="D66" s="26" t="s">
        <v>333</v>
      </c>
      <c r="E66" s="26" t="s">
        <v>53</v>
      </c>
      <c r="F66" s="26"/>
      <c r="G66" s="30"/>
    </row>
    <row r="67" spans="2:10">
      <c r="B67" s="19" t="s">
        <v>592</v>
      </c>
      <c r="C67" s="26" t="s">
        <v>606</v>
      </c>
      <c r="D67" s="26" t="s">
        <v>605</v>
      </c>
      <c r="E67" s="26" t="s">
        <v>53</v>
      </c>
      <c r="F67" s="26"/>
      <c r="G67" s="30"/>
    </row>
    <row r="68" spans="2:10">
      <c r="B68" s="19" t="s">
        <v>601</v>
      </c>
      <c r="C68" s="26" t="s">
        <v>540</v>
      </c>
      <c r="D68" s="26" t="s">
        <v>600</v>
      </c>
      <c r="E68" s="26" t="s">
        <v>53</v>
      </c>
      <c r="F68" s="26"/>
      <c r="G68" s="30"/>
    </row>
    <row r="69" spans="2:10">
      <c r="B69" s="19" t="s">
        <v>589</v>
      </c>
      <c r="C69" s="26" t="s">
        <v>261</v>
      </c>
      <c r="D69" s="26" t="s">
        <v>598</v>
      </c>
      <c r="E69" s="26" t="s">
        <v>53</v>
      </c>
      <c r="F69" s="26" t="s">
        <v>599</v>
      </c>
      <c r="G69" s="30"/>
    </row>
    <row r="70" spans="2:10">
      <c r="B70" s="3" t="s">
        <v>584</v>
      </c>
      <c r="C70" s="26" t="s">
        <v>595</v>
      </c>
      <c r="D70" s="26" t="s">
        <v>594</v>
      </c>
      <c r="E70" s="26" t="s">
        <v>53</v>
      </c>
      <c r="F70" s="26" t="s">
        <v>596</v>
      </c>
      <c r="G70" s="30"/>
    </row>
    <row r="71" spans="2:10">
      <c r="B71" s="31" t="s">
        <v>51</v>
      </c>
      <c r="C71" s="32" t="s">
        <v>8</v>
      </c>
      <c r="D71" s="32" t="s">
        <v>52</v>
      </c>
      <c r="E71" s="32" t="s">
        <v>53</v>
      </c>
      <c r="F71" s="33"/>
      <c r="G71" s="34"/>
    </row>
    <row r="73" spans="2:10">
      <c r="E73" s="24" t="s">
        <v>54</v>
      </c>
    </row>
    <row r="74" spans="2:10">
      <c r="E74" s="24" t="s">
        <v>477</v>
      </c>
      <c r="F74" s="14"/>
    </row>
    <row r="75" spans="2:10">
      <c r="E75" s="24" t="s">
        <v>421</v>
      </c>
    </row>
    <row r="76" spans="2:10">
      <c r="E76" s="24" t="s">
        <v>416</v>
      </c>
    </row>
    <row r="77" spans="2:10">
      <c r="E77" s="24" t="s">
        <v>214</v>
      </c>
    </row>
    <row r="78" spans="2:10">
      <c r="E78" s="24" t="s">
        <v>418</v>
      </c>
      <c r="J78" s="24" t="s">
        <v>432</v>
      </c>
    </row>
    <row r="79" spans="2:10">
      <c r="E79" s="24" t="s">
        <v>397</v>
      </c>
      <c r="J79" s="24" t="s">
        <v>476</v>
      </c>
    </row>
    <row r="80" spans="2:10">
      <c r="E80" s="14" t="s">
        <v>612</v>
      </c>
    </row>
    <row r="81" spans="5:5">
      <c r="E81" s="14" t="s">
        <v>611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7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8" location="monlunabant!A1" display="monlunabant (INV-202)" xr:uid="{C56125E6-50D3-1D41-9A50-7B619B1FC1C1}"/>
    <hyperlink ref="B33" location="'insulin icodec'!A1" display="icosema" xr:uid="{6C09793E-531A-AC4A-A4B1-707B3F43163B}"/>
    <hyperlink ref="B52" location="amycretin!A1" display="amycretin" xr:uid="{252AA84C-63B4-F943-B1B6-E20A562DDA5D}"/>
    <hyperlink ref="B70" location="'NNC6022'!A1" display="NNC6022" xr:uid="{C81F4A50-A309-4127-9C00-0AD8ECA01526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5" customWidth="1"/>
  </cols>
  <sheetData>
    <row r="1" spans="1:3">
      <c r="A1" s="64" t="s">
        <v>55</v>
      </c>
    </row>
    <row r="2" spans="1:3">
      <c r="B2" s="60" t="s">
        <v>216</v>
      </c>
    </row>
    <row r="3" spans="1:3">
      <c r="B3" s="60" t="s">
        <v>1</v>
      </c>
    </row>
    <row r="4" spans="1:3">
      <c r="B4" s="60" t="s">
        <v>223</v>
      </c>
      <c r="C4" s="60" t="s">
        <v>290</v>
      </c>
    </row>
    <row r="5" spans="1:3">
      <c r="B5" s="60" t="s">
        <v>219</v>
      </c>
      <c r="C5" s="60" t="s">
        <v>220</v>
      </c>
    </row>
    <row r="6" spans="1:3">
      <c r="B6" s="60"/>
      <c r="C6" s="60" t="s">
        <v>343</v>
      </c>
    </row>
    <row r="7" spans="1:3">
      <c r="B7" s="60" t="s">
        <v>157</v>
      </c>
    </row>
    <row r="8" spans="1:3">
      <c r="C8" s="63" t="s">
        <v>291</v>
      </c>
    </row>
    <row r="12" spans="1:3">
      <c r="C12" s="63" t="s">
        <v>344</v>
      </c>
    </row>
    <row r="13" spans="1:3">
      <c r="C13" s="60" t="s">
        <v>445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63"/>
  <sheetViews>
    <sheetView zoomScale="150" zoomScaleNormal="150" workbookViewId="0">
      <selection activeCell="C64" sqref="C64"/>
    </sheetView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578</v>
      </c>
    </row>
    <row r="3" spans="1:3">
      <c r="B3" s="60" t="s">
        <v>217</v>
      </c>
      <c r="C3" s="60" t="s">
        <v>284</v>
      </c>
    </row>
    <row r="4" spans="1:3">
      <c r="B4" s="60" t="s">
        <v>223</v>
      </c>
      <c r="C4" s="60" t="s">
        <v>285</v>
      </c>
    </row>
    <row r="5" spans="1:3">
      <c r="B5" s="60" t="s">
        <v>1</v>
      </c>
      <c r="C5" s="60" t="s">
        <v>286</v>
      </c>
    </row>
    <row r="6" spans="1:3">
      <c r="B6" s="60" t="s">
        <v>157</v>
      </c>
    </row>
    <row r="7" spans="1:3">
      <c r="C7" s="63" t="s">
        <v>287</v>
      </c>
    </row>
    <row r="8" spans="1:3">
      <c r="C8" s="60" t="s">
        <v>288</v>
      </c>
    </row>
    <row r="10" spans="1:3">
      <c r="C10" s="63" t="s">
        <v>325</v>
      </c>
    </row>
    <row r="11" spans="1:3">
      <c r="C11" s="63"/>
    </row>
    <row r="12" spans="1:3">
      <c r="C12" s="63" t="s">
        <v>370</v>
      </c>
    </row>
    <row r="13" spans="1:3">
      <c r="C13" s="60" t="s">
        <v>369</v>
      </c>
    </row>
    <row r="14" spans="1:3">
      <c r="C14" s="63"/>
    </row>
    <row r="15" spans="1:3">
      <c r="C15" s="63" t="s">
        <v>371</v>
      </c>
    </row>
    <row r="16" spans="1:3">
      <c r="C16" s="60" t="s">
        <v>369</v>
      </c>
    </row>
    <row r="18" spans="3:3">
      <c r="C18" s="63" t="s">
        <v>342</v>
      </c>
    </row>
    <row r="19" spans="3:3">
      <c r="C19" s="63"/>
    </row>
    <row r="20" spans="3:3">
      <c r="C20" s="63" t="s">
        <v>349</v>
      </c>
    </row>
    <row r="21" spans="3:3">
      <c r="C21" s="60" t="s">
        <v>350</v>
      </c>
    </row>
    <row r="49" spans="3:3">
      <c r="C49" s="63" t="s">
        <v>382</v>
      </c>
    </row>
    <row r="50" spans="3:3">
      <c r="C50" s="60" t="s">
        <v>383</v>
      </c>
    </row>
    <row r="51" spans="3:3">
      <c r="C51" s="60" t="s">
        <v>385</v>
      </c>
    </row>
    <row r="53" spans="3:3">
      <c r="C53" s="63" t="s">
        <v>384</v>
      </c>
    </row>
    <row r="54" spans="3:3">
      <c r="C54" s="60" t="s">
        <v>386</v>
      </c>
    </row>
    <row r="57" spans="3:3">
      <c r="C57" s="63" t="s">
        <v>613</v>
      </c>
    </row>
    <row r="58" spans="3:3">
      <c r="C58" s="60" t="s">
        <v>614</v>
      </c>
    </row>
    <row r="59" spans="3:3">
      <c r="C59" s="60" t="s">
        <v>615</v>
      </c>
    </row>
    <row r="60" spans="3:3">
      <c r="C60" s="60" t="s">
        <v>616</v>
      </c>
    </row>
    <row r="61" spans="3:3">
      <c r="C61" s="60" t="s">
        <v>617</v>
      </c>
    </row>
    <row r="63" spans="3:3">
      <c r="C63" s="63" t="s">
        <v>618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defaultColWidth="8.85546875" defaultRowHeight="12.75"/>
  <cols>
    <col min="1" max="1" width="5" bestFit="1" customWidth="1"/>
    <col min="2" max="2" width="11.28515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457</v>
      </c>
    </row>
    <row r="3" spans="1:3">
      <c r="B3" s="60" t="s">
        <v>1</v>
      </c>
      <c r="C3" s="60" t="s">
        <v>458</v>
      </c>
    </row>
    <row r="4" spans="1:3">
      <c r="B4" s="60" t="s">
        <v>339</v>
      </c>
      <c r="C4" s="60" t="s">
        <v>459</v>
      </c>
    </row>
    <row r="5" spans="1:3">
      <c r="B5" s="60" t="s">
        <v>324</v>
      </c>
      <c r="C5" s="60" t="s">
        <v>460</v>
      </c>
    </row>
    <row r="6" spans="1:3">
      <c r="B6" s="60"/>
      <c r="C6" s="60" t="s">
        <v>546</v>
      </c>
    </row>
    <row r="7" spans="1:3">
      <c r="B7" s="60" t="s">
        <v>157</v>
      </c>
    </row>
    <row r="8" spans="1:3">
      <c r="B8" s="60"/>
      <c r="C8" s="63" t="s">
        <v>461</v>
      </c>
    </row>
    <row r="11" spans="1:3">
      <c r="C11" s="63" t="s">
        <v>547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259</v>
      </c>
    </row>
    <row r="3" spans="1:3">
      <c r="B3" s="60" t="s">
        <v>223</v>
      </c>
      <c r="C3" s="60" t="s">
        <v>269</v>
      </c>
    </row>
    <row r="4" spans="1:3">
      <c r="B4" s="60" t="s">
        <v>271</v>
      </c>
      <c r="C4" s="60" t="s">
        <v>272</v>
      </c>
    </row>
    <row r="5" spans="1:3">
      <c r="B5" s="60" t="s">
        <v>157</v>
      </c>
    </row>
    <row r="6" spans="1:3">
      <c r="C6" s="63" t="s">
        <v>270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1"/>
  <sheetViews>
    <sheetView zoomScale="160" zoomScaleNormal="160" workbookViewId="0">
      <pane xSplit="2" ySplit="2" topLeftCell="BM12" activePane="bottomRight" state="frozen"/>
      <selection pane="topRight" activeCell="C1" sqref="C1"/>
      <selection pane="bottomLeft" activeCell="A3" sqref="A3"/>
      <selection pane="bottomRight" activeCell="BS22" sqref="BS22"/>
    </sheetView>
  </sheetViews>
  <sheetFormatPr defaultColWidth="9.140625" defaultRowHeight="12.95" customHeight="1"/>
  <cols>
    <col min="1" max="1" width="5" style="5" bestFit="1" customWidth="1"/>
    <col min="2" max="2" width="19.140625" style="18" customWidth="1"/>
    <col min="3" max="42" width="6.85546875" style="6" customWidth="1"/>
    <col min="43" max="46" width="8" style="6" customWidth="1"/>
    <col min="47" max="50" width="8.28515625" style="6" customWidth="1"/>
    <col min="51" max="66" width="7.85546875" style="6" customWidth="1"/>
    <col min="67" max="74" width="8.140625" style="6" customWidth="1"/>
    <col min="75" max="82" width="7.140625" style="6" bestFit="1" customWidth="1"/>
    <col min="83" max="83" width="7.7109375" style="6" customWidth="1"/>
    <col min="84" max="85" width="7.42578125" style="6" bestFit="1" customWidth="1"/>
    <col min="86" max="93" width="7.7109375" style="6" customWidth="1"/>
    <col min="94" max="106" width="7.7109375" style="7" customWidth="1"/>
    <col min="107" max="113" width="8.5703125" style="7" customWidth="1"/>
    <col min="114" max="16384" width="9.140625" style="7"/>
  </cols>
  <sheetData>
    <row r="1" spans="1:145" ht="12.95" customHeight="1">
      <c r="A1" s="16" t="s">
        <v>55</v>
      </c>
      <c r="B1" s="36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54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  <c r="CN1" s="38"/>
      <c r="CO1" s="38"/>
      <c r="CP1" s="39"/>
      <c r="CQ1" s="39"/>
      <c r="CR1" s="39"/>
      <c r="CS1" s="39"/>
      <c r="CT1" s="39"/>
      <c r="CU1" s="39"/>
      <c r="CV1" s="39"/>
      <c r="CW1" s="39"/>
      <c r="CX1" s="39"/>
      <c r="CY1" s="39"/>
      <c r="CZ1" s="39"/>
      <c r="DA1" s="39"/>
      <c r="DB1" s="39"/>
      <c r="DC1" s="39"/>
      <c r="DD1" s="39"/>
      <c r="DE1" s="39"/>
      <c r="DF1" s="39"/>
      <c r="DG1" s="39"/>
      <c r="DH1" s="39"/>
      <c r="DI1" s="39"/>
      <c r="DJ1" s="39"/>
      <c r="DK1" s="39"/>
      <c r="DL1" s="39"/>
      <c r="DM1" s="39"/>
      <c r="DN1" s="39"/>
      <c r="DO1" s="39"/>
      <c r="DP1" s="39"/>
      <c r="DQ1" s="39"/>
      <c r="DR1" s="39"/>
      <c r="DS1" s="39"/>
      <c r="DT1" s="39"/>
      <c r="DU1" s="39"/>
      <c r="DV1" s="39"/>
      <c r="DW1" s="39"/>
      <c r="DX1" s="39"/>
      <c r="DY1" s="39"/>
      <c r="DZ1" s="39"/>
      <c r="EA1" s="39"/>
      <c r="EB1" s="39"/>
      <c r="EC1" s="39"/>
      <c r="ED1" s="39"/>
      <c r="EE1" s="39"/>
      <c r="EF1" s="39"/>
      <c r="EG1" s="39"/>
      <c r="EH1" s="39"/>
      <c r="EI1" s="39"/>
      <c r="EJ1" s="39"/>
      <c r="EK1" s="39"/>
      <c r="EL1" s="39"/>
      <c r="EM1" s="39"/>
      <c r="EN1" s="39"/>
      <c r="EO1" s="39"/>
    </row>
    <row r="2" spans="1:145" ht="12.95" customHeight="1">
      <c r="A2" s="40"/>
      <c r="B2" s="77">
        <v>7.1763000000000003</v>
      </c>
      <c r="C2" s="41" t="s">
        <v>56</v>
      </c>
      <c r="D2" s="41" t="s">
        <v>57</v>
      </c>
      <c r="E2" s="41" t="s">
        <v>58</v>
      </c>
      <c r="F2" s="41" t="s">
        <v>59</v>
      </c>
      <c r="G2" s="41" t="s">
        <v>60</v>
      </c>
      <c r="H2" s="41" t="s">
        <v>61</v>
      </c>
      <c r="I2" s="41" t="s">
        <v>62</v>
      </c>
      <c r="J2" s="41" t="s">
        <v>63</v>
      </c>
      <c r="K2" s="41" t="s">
        <v>64</v>
      </c>
      <c r="L2" s="41" t="s">
        <v>65</v>
      </c>
      <c r="M2" s="41" t="s">
        <v>66</v>
      </c>
      <c r="N2" s="41" t="s">
        <v>67</v>
      </c>
      <c r="O2" s="41" t="s">
        <v>68</v>
      </c>
      <c r="P2" s="41" t="s">
        <v>69</v>
      </c>
      <c r="Q2" s="41" t="s">
        <v>70</v>
      </c>
      <c r="R2" s="41" t="s">
        <v>71</v>
      </c>
      <c r="S2" s="41" t="s">
        <v>72</v>
      </c>
      <c r="T2" s="41" t="s">
        <v>73</v>
      </c>
      <c r="U2" s="41" t="s">
        <v>74</v>
      </c>
      <c r="V2" s="41" t="s">
        <v>75</v>
      </c>
      <c r="W2" s="41" t="s">
        <v>76</v>
      </c>
      <c r="X2" s="41" t="s">
        <v>77</v>
      </c>
      <c r="Y2" s="41" t="s">
        <v>78</v>
      </c>
      <c r="Z2" s="41" t="s">
        <v>79</v>
      </c>
      <c r="AA2" s="41" t="s">
        <v>80</v>
      </c>
      <c r="AB2" s="41" t="s">
        <v>12</v>
      </c>
      <c r="AC2" s="41" t="s">
        <v>81</v>
      </c>
      <c r="AD2" s="41" t="s">
        <v>82</v>
      </c>
      <c r="AE2" s="41" t="s">
        <v>83</v>
      </c>
      <c r="AF2" s="41" t="s">
        <v>84</v>
      </c>
      <c r="AG2" s="41" t="s">
        <v>85</v>
      </c>
      <c r="AH2" s="41" t="s">
        <v>86</v>
      </c>
      <c r="AI2" s="41" t="s">
        <v>87</v>
      </c>
      <c r="AJ2" s="41" t="s">
        <v>88</v>
      </c>
      <c r="AK2" s="41" t="s">
        <v>89</v>
      </c>
      <c r="AL2" s="41" t="s">
        <v>90</v>
      </c>
      <c r="AM2" s="41" t="s">
        <v>91</v>
      </c>
      <c r="AN2" s="41" t="s">
        <v>92</v>
      </c>
      <c r="AO2" s="41" t="s">
        <v>93</v>
      </c>
      <c r="AP2" s="41" t="s">
        <v>94</v>
      </c>
      <c r="AQ2" s="41" t="s">
        <v>95</v>
      </c>
      <c r="AR2" s="41" t="s">
        <v>96</v>
      </c>
      <c r="AS2" s="41" t="s">
        <v>97</v>
      </c>
      <c r="AT2" s="41" t="s">
        <v>98</v>
      </c>
      <c r="AU2" s="41" t="s">
        <v>99</v>
      </c>
      <c r="AV2" s="41" t="s">
        <v>100</v>
      </c>
      <c r="AW2" s="41" t="s">
        <v>101</v>
      </c>
      <c r="AX2" s="41" t="s">
        <v>102</v>
      </c>
      <c r="AY2" s="41" t="s">
        <v>103</v>
      </c>
      <c r="AZ2" s="41" t="s">
        <v>104</v>
      </c>
      <c r="BA2" s="41" t="s">
        <v>105</v>
      </c>
      <c r="BB2" s="41" t="s">
        <v>106</v>
      </c>
      <c r="BC2" s="41" t="s">
        <v>107</v>
      </c>
      <c r="BD2" s="41" t="s">
        <v>108</v>
      </c>
      <c r="BE2" s="41" t="s">
        <v>109</v>
      </c>
      <c r="BF2" s="41" t="s">
        <v>110</v>
      </c>
      <c r="BG2" s="41" t="s">
        <v>111</v>
      </c>
      <c r="BH2" s="41" t="s">
        <v>112</v>
      </c>
      <c r="BI2" s="41" t="s">
        <v>113</v>
      </c>
      <c r="BJ2" s="41" t="s">
        <v>114</v>
      </c>
      <c r="BK2" s="41" t="s">
        <v>187</v>
      </c>
      <c r="BL2" s="41" t="s">
        <v>188</v>
      </c>
      <c r="BM2" s="41" t="s">
        <v>189</v>
      </c>
      <c r="BN2" s="41" t="s">
        <v>190</v>
      </c>
      <c r="BO2" s="41" t="s">
        <v>239</v>
      </c>
      <c r="BP2" s="41" t="s">
        <v>240</v>
      </c>
      <c r="BQ2" s="41" t="s">
        <v>241</v>
      </c>
      <c r="BR2" s="41" t="s">
        <v>242</v>
      </c>
      <c r="BS2" s="41" t="s">
        <v>422</v>
      </c>
      <c r="BT2" s="41" t="s">
        <v>423</v>
      </c>
      <c r="BU2" s="41" t="s">
        <v>424</v>
      </c>
      <c r="BV2" s="41" t="s">
        <v>425</v>
      </c>
      <c r="BW2" s="42"/>
      <c r="BX2" s="41" t="s">
        <v>115</v>
      </c>
      <c r="BY2" s="41" t="s">
        <v>116</v>
      </c>
      <c r="BZ2" s="41" t="s">
        <v>117</v>
      </c>
      <c r="CA2" s="41" t="s">
        <v>118</v>
      </c>
      <c r="CB2" s="41" t="s">
        <v>119</v>
      </c>
      <c r="CC2" s="41" t="s">
        <v>120</v>
      </c>
      <c r="CD2" s="41" t="s">
        <v>121</v>
      </c>
      <c r="CE2" s="41">
        <v>2005</v>
      </c>
      <c r="CF2" s="41">
        <v>2006</v>
      </c>
      <c r="CG2" s="41">
        <v>2007</v>
      </c>
      <c r="CH2" s="41">
        <v>2008</v>
      </c>
      <c r="CI2" s="41">
        <v>2009</v>
      </c>
      <c r="CJ2" s="41">
        <v>2010</v>
      </c>
      <c r="CK2" s="41">
        <v>2011</v>
      </c>
      <c r="CL2" s="41">
        <v>2012</v>
      </c>
      <c r="CM2" s="41">
        <v>2013</v>
      </c>
      <c r="CN2" s="41">
        <v>2014</v>
      </c>
      <c r="CO2" s="41">
        <v>2015</v>
      </c>
      <c r="CP2" s="58">
        <f>+CO2+1</f>
        <v>2016</v>
      </c>
      <c r="CQ2" s="58">
        <f t="shared" ref="CQ2:DI2" si="0">+CP2+1</f>
        <v>2017</v>
      </c>
      <c r="CR2" s="58">
        <f t="shared" si="0"/>
        <v>2018</v>
      </c>
      <c r="CS2" s="58">
        <f t="shared" si="0"/>
        <v>2019</v>
      </c>
      <c r="CT2" s="58">
        <f t="shared" si="0"/>
        <v>2020</v>
      </c>
      <c r="CU2" s="58">
        <f t="shared" si="0"/>
        <v>2021</v>
      </c>
      <c r="CV2" s="58">
        <f t="shared" si="0"/>
        <v>2022</v>
      </c>
      <c r="CW2" s="58">
        <f t="shared" si="0"/>
        <v>2023</v>
      </c>
      <c r="CX2" s="58">
        <f t="shared" si="0"/>
        <v>2024</v>
      </c>
      <c r="CY2" s="58">
        <f t="shared" si="0"/>
        <v>2025</v>
      </c>
      <c r="CZ2" s="58">
        <f t="shared" si="0"/>
        <v>2026</v>
      </c>
      <c r="DA2" s="58">
        <f t="shared" si="0"/>
        <v>2027</v>
      </c>
      <c r="DB2" s="58">
        <f t="shared" si="0"/>
        <v>2028</v>
      </c>
      <c r="DC2" s="58">
        <f t="shared" si="0"/>
        <v>2029</v>
      </c>
      <c r="DD2" s="58">
        <f t="shared" si="0"/>
        <v>2030</v>
      </c>
      <c r="DE2" s="58">
        <f t="shared" si="0"/>
        <v>2031</v>
      </c>
      <c r="DF2" s="58">
        <f t="shared" si="0"/>
        <v>2032</v>
      </c>
      <c r="DG2" s="58">
        <f t="shared" si="0"/>
        <v>2033</v>
      </c>
      <c r="DH2" s="58">
        <f t="shared" si="0"/>
        <v>2034</v>
      </c>
      <c r="DI2" s="58">
        <f t="shared" si="0"/>
        <v>2035</v>
      </c>
      <c r="DJ2" s="39"/>
      <c r="DK2" s="39"/>
      <c r="DL2" s="39"/>
      <c r="DM2" s="39"/>
      <c r="DN2" s="39"/>
      <c r="DO2" s="39"/>
      <c r="DP2" s="39"/>
      <c r="DQ2" s="39"/>
      <c r="DR2" s="39"/>
      <c r="DS2" s="39"/>
      <c r="DT2" s="39"/>
      <c r="DU2" s="39"/>
      <c r="DV2" s="39"/>
      <c r="DW2" s="39"/>
      <c r="DX2" s="39"/>
      <c r="DY2" s="39"/>
      <c r="DZ2" s="39"/>
      <c r="EA2" s="39"/>
      <c r="EB2" s="39"/>
      <c r="EC2" s="39"/>
      <c r="ED2" s="39"/>
      <c r="EE2" s="39"/>
      <c r="EF2" s="39"/>
      <c r="EG2" s="39"/>
      <c r="EH2" s="39"/>
      <c r="EI2" s="39"/>
      <c r="EJ2" s="39"/>
      <c r="EK2" s="39"/>
      <c r="EL2" s="39"/>
      <c r="EM2" s="39"/>
      <c r="EN2" s="39"/>
      <c r="EO2" s="39"/>
    </row>
    <row r="3" spans="1:145" s="17" customFormat="1" ht="12.95" customHeight="1">
      <c r="A3" s="35"/>
      <c r="B3" s="35" t="s">
        <v>122</v>
      </c>
      <c r="C3" s="43"/>
      <c r="D3" s="43"/>
      <c r="E3" s="43"/>
      <c r="F3" s="43"/>
      <c r="G3" s="43"/>
      <c r="H3" s="43"/>
      <c r="I3" s="43"/>
      <c r="J3" s="43"/>
      <c r="K3" s="43">
        <v>2616</v>
      </c>
      <c r="L3" s="43">
        <f>5659-K3</f>
        <v>3043</v>
      </c>
      <c r="M3" s="43">
        <f>8691-L3-K3</f>
        <v>3032</v>
      </c>
      <c r="N3" s="43">
        <f>11900-M3-L3-K3</f>
        <v>3209</v>
      </c>
      <c r="O3" s="43">
        <v>2955</v>
      </c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>
        <v>3901</v>
      </c>
      <c r="AB3" s="43">
        <f>8152-AA3</f>
        <v>4251</v>
      </c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>
        <v>4695</v>
      </c>
      <c r="AR3" s="43">
        <v>4799</v>
      </c>
      <c r="AS3" s="43">
        <v>4445</v>
      </c>
      <c r="AT3" s="43">
        <v>4824</v>
      </c>
      <c r="AU3" s="43">
        <v>4746</v>
      </c>
      <c r="AV3" s="43">
        <v>4486</v>
      </c>
      <c r="AW3" s="43">
        <v>4331</v>
      </c>
      <c r="AX3" s="43">
        <v>4497</v>
      </c>
      <c r="AY3" s="43">
        <v>4724</v>
      </c>
      <c r="AZ3" s="43">
        <v>4093</v>
      </c>
      <c r="BA3" s="43">
        <v>4244</v>
      </c>
      <c r="BB3" s="43">
        <v>3867</v>
      </c>
      <c r="BC3" s="43">
        <v>4154</v>
      </c>
      <c r="BD3" s="43">
        <v>3817</v>
      </c>
      <c r="BE3" s="43">
        <v>3943</v>
      </c>
      <c r="BF3" s="43">
        <v>4025</v>
      </c>
      <c r="BG3" s="43">
        <v>4345</v>
      </c>
      <c r="BH3" s="43">
        <v>3371</v>
      </c>
      <c r="BI3" s="43">
        <v>3778</v>
      </c>
      <c r="BJ3" s="43">
        <v>3966</v>
      </c>
      <c r="BK3" s="43">
        <v>3970</v>
      </c>
      <c r="BL3" s="43">
        <v>3064</v>
      </c>
      <c r="BM3" s="43">
        <v>3234</v>
      </c>
      <c r="BN3" s="43">
        <v>3508</v>
      </c>
      <c r="BO3" s="43">
        <v>3920</v>
      </c>
      <c r="BP3" s="43">
        <v>3303</v>
      </c>
      <c r="BQ3" s="43">
        <v>3756</v>
      </c>
      <c r="BR3" s="43">
        <v>5674</v>
      </c>
      <c r="BS3" s="43"/>
      <c r="BT3" s="43"/>
      <c r="BU3" s="43"/>
      <c r="BV3" s="43"/>
      <c r="BW3" s="44"/>
      <c r="BX3" s="43"/>
      <c r="BY3" s="43"/>
      <c r="BZ3" s="43"/>
      <c r="CA3" s="43"/>
      <c r="CB3" s="43"/>
      <c r="CC3" s="43"/>
      <c r="CD3" s="43"/>
      <c r="CE3" s="43"/>
      <c r="CF3" s="43"/>
      <c r="CG3" s="43"/>
      <c r="CH3" s="43"/>
      <c r="CI3" s="43"/>
      <c r="CJ3" s="43"/>
      <c r="CK3" s="43"/>
      <c r="CL3" s="43"/>
      <c r="CM3" s="43"/>
      <c r="CN3" s="43"/>
      <c r="CO3" s="43"/>
      <c r="CP3" s="45"/>
      <c r="CQ3" s="45"/>
      <c r="CR3" s="45"/>
      <c r="CS3" s="45"/>
      <c r="CT3" s="45">
        <f>SUM(AY3:BB3)</f>
        <v>16928</v>
      </c>
      <c r="CU3" s="45">
        <f>SUM(BC3:BF3)</f>
        <v>15939</v>
      </c>
      <c r="CV3" s="45">
        <f>SUM(BG3:BJ3)</f>
        <v>15460</v>
      </c>
      <c r="CW3" s="45">
        <f>SUM(BK3:BN3)</f>
        <v>13776</v>
      </c>
      <c r="CX3" s="45">
        <f t="shared" ref="CX3:CX10" si="1">SUM(BO3:BR3)</f>
        <v>16653</v>
      </c>
      <c r="CY3" s="45">
        <f t="shared" ref="CY3:CY32" si="2">SUM(BS3:BV3)</f>
        <v>0</v>
      </c>
      <c r="CZ3" s="45"/>
      <c r="DA3" s="45"/>
      <c r="DB3" s="45"/>
      <c r="DC3" s="45"/>
      <c r="DD3" s="45"/>
      <c r="DE3" s="45"/>
      <c r="DF3" s="45"/>
      <c r="DG3" s="45"/>
      <c r="DH3" s="45"/>
      <c r="DI3" s="45"/>
      <c r="DJ3" s="45"/>
      <c r="DK3" s="45"/>
      <c r="DL3" s="45"/>
      <c r="DM3" s="45"/>
      <c r="DN3" s="45"/>
      <c r="DO3" s="45"/>
      <c r="DP3" s="45"/>
      <c r="DQ3" s="45"/>
      <c r="DR3" s="45"/>
      <c r="DS3" s="45"/>
      <c r="DT3" s="45"/>
      <c r="DU3" s="45"/>
      <c r="DV3" s="45"/>
      <c r="DW3" s="45"/>
      <c r="DX3" s="45"/>
      <c r="DY3" s="45"/>
      <c r="DZ3" s="45"/>
      <c r="EA3" s="45"/>
      <c r="EB3" s="45"/>
      <c r="EC3" s="45"/>
      <c r="ED3" s="45"/>
      <c r="EE3" s="45"/>
      <c r="EF3" s="45"/>
      <c r="EG3" s="45"/>
      <c r="EH3" s="45"/>
      <c r="EI3" s="45"/>
      <c r="EJ3" s="45"/>
      <c r="EK3" s="45"/>
      <c r="EL3" s="45"/>
      <c r="EM3" s="45"/>
      <c r="EN3" s="45"/>
      <c r="EO3" s="45"/>
    </row>
    <row r="4" spans="1:145" s="17" customFormat="1" ht="12.95" customHeight="1">
      <c r="A4" s="35"/>
      <c r="B4" s="35" t="s">
        <v>175</v>
      </c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17">
        <v>83</v>
      </c>
      <c r="AR4" s="43">
        <f>2587-AR5</f>
        <v>179</v>
      </c>
      <c r="AS4" s="43">
        <f>2527-AS5</f>
        <v>195</v>
      </c>
      <c r="AT4" s="43">
        <v>206</v>
      </c>
      <c r="AU4" s="43">
        <v>231</v>
      </c>
      <c r="AV4" s="43">
        <v>272</v>
      </c>
      <c r="AW4" s="43">
        <v>301</v>
      </c>
      <c r="AX4" s="43">
        <v>439</v>
      </c>
      <c r="AY4" s="43">
        <v>390</v>
      </c>
      <c r="AZ4" s="43">
        <v>286</v>
      </c>
      <c r="BA4" s="43">
        <v>345</v>
      </c>
      <c r="BB4" s="43">
        <v>364</v>
      </c>
      <c r="BC4" s="43">
        <v>402</v>
      </c>
      <c r="BD4" s="43">
        <v>435</v>
      </c>
      <c r="BE4" s="43">
        <v>416</v>
      </c>
      <c r="BF4" s="43">
        <v>495</v>
      </c>
      <c r="BG4" s="43">
        <v>497</v>
      </c>
      <c r="BH4" s="43">
        <v>516</v>
      </c>
      <c r="BI4" s="43">
        <v>485</v>
      </c>
      <c r="BJ4" s="43">
        <v>505</v>
      </c>
      <c r="BK4" s="43">
        <v>518</v>
      </c>
      <c r="BL4" s="43">
        <v>447</v>
      </c>
      <c r="BM4" s="43">
        <v>574</v>
      </c>
      <c r="BN4" s="43">
        <v>634</v>
      </c>
      <c r="BO4" s="43">
        <v>567</v>
      </c>
      <c r="BP4" s="43">
        <v>565</v>
      </c>
      <c r="BQ4" s="43">
        <v>394</v>
      </c>
      <c r="BR4" s="43">
        <v>343</v>
      </c>
      <c r="BS4" s="43"/>
      <c r="BT4" s="43"/>
      <c r="BU4" s="43"/>
      <c r="BV4" s="43"/>
      <c r="BW4" s="44"/>
      <c r="BX4" s="43"/>
      <c r="BY4" s="43"/>
      <c r="BZ4" s="43"/>
      <c r="CA4" s="43"/>
      <c r="CB4" s="43"/>
      <c r="CC4" s="43"/>
      <c r="CD4" s="43"/>
      <c r="CE4" s="43"/>
      <c r="CF4" s="43"/>
      <c r="CG4" s="43"/>
      <c r="CH4" s="43"/>
      <c r="CI4" s="43"/>
      <c r="CJ4" s="43"/>
      <c r="CK4" s="43"/>
      <c r="CL4" s="43"/>
      <c r="CM4" s="43"/>
      <c r="CN4" s="43"/>
      <c r="CO4" s="43"/>
      <c r="CP4" s="45"/>
      <c r="CQ4" s="45"/>
      <c r="CR4" s="45"/>
      <c r="CS4" s="45"/>
      <c r="CT4" s="45">
        <f t="shared" ref="CT4:CT10" si="3">SUM(AY4:BB4)</f>
        <v>1385</v>
      </c>
      <c r="CU4" s="45">
        <f t="shared" ref="CU4:CU10" si="4">SUM(BC4:BF4)</f>
        <v>1748</v>
      </c>
      <c r="CV4" s="45">
        <f t="shared" ref="CV4:CV10" si="5">SUM(BG4:BJ4)</f>
        <v>2003</v>
      </c>
      <c r="CW4" s="45">
        <f t="shared" ref="CW4:CW10" si="6">SUM(BK4:BN4)</f>
        <v>2173</v>
      </c>
      <c r="CX4" s="45">
        <f t="shared" si="1"/>
        <v>1869</v>
      </c>
      <c r="CY4" s="45">
        <f t="shared" si="2"/>
        <v>0</v>
      </c>
      <c r="CZ4" s="45"/>
      <c r="DA4" s="45"/>
      <c r="DB4" s="45"/>
      <c r="DC4" s="45"/>
      <c r="DD4" s="45"/>
      <c r="DE4" s="45"/>
      <c r="DF4" s="45"/>
      <c r="DG4" s="45"/>
      <c r="DH4" s="45"/>
      <c r="DI4" s="45"/>
      <c r="DJ4" s="45"/>
      <c r="DK4" s="45"/>
      <c r="DL4" s="45"/>
      <c r="DM4" s="45"/>
      <c r="DN4" s="45"/>
      <c r="DO4" s="45"/>
      <c r="DP4" s="45"/>
      <c r="DQ4" s="45"/>
      <c r="DR4" s="45"/>
      <c r="DS4" s="45"/>
      <c r="DT4" s="45"/>
      <c r="DU4" s="45"/>
      <c r="DV4" s="45"/>
      <c r="DW4" s="45"/>
      <c r="DX4" s="45"/>
      <c r="DY4" s="45"/>
      <c r="DZ4" s="45"/>
      <c r="EA4" s="45"/>
      <c r="EB4" s="45"/>
      <c r="EC4" s="45"/>
      <c r="ED4" s="45"/>
      <c r="EE4" s="45"/>
      <c r="EF4" s="45"/>
      <c r="EG4" s="45"/>
      <c r="EH4" s="45"/>
      <c r="EI4" s="45"/>
      <c r="EJ4" s="45"/>
      <c r="EK4" s="45"/>
      <c r="EL4" s="45"/>
      <c r="EM4" s="45"/>
      <c r="EN4" s="45"/>
      <c r="EO4" s="45"/>
    </row>
    <row r="5" spans="1:145" s="17" customFormat="1" ht="12.95" customHeight="1">
      <c r="A5" s="35"/>
      <c r="B5" s="35" t="s">
        <v>123</v>
      </c>
      <c r="C5" s="43"/>
      <c r="D5" s="43"/>
      <c r="E5" s="43"/>
      <c r="F5" s="43"/>
      <c r="G5" s="43"/>
      <c r="H5" s="43"/>
      <c r="I5" s="43"/>
      <c r="J5" s="43"/>
      <c r="K5" s="43">
        <v>1729</v>
      </c>
      <c r="L5" s="43">
        <f>3718-K5</f>
        <v>1989</v>
      </c>
      <c r="M5" s="43">
        <f>5716-L5-K5</f>
        <v>1998</v>
      </c>
      <c r="N5" s="43">
        <f>7821-M5-L5-K5</f>
        <v>2105</v>
      </c>
      <c r="O5" s="43">
        <v>1975</v>
      </c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  <c r="AA5" s="43">
        <v>2358</v>
      </c>
      <c r="AB5" s="43">
        <f>4840-AA5</f>
        <v>2482</v>
      </c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>
        <v>2501</v>
      </c>
      <c r="AR5" s="43">
        <v>2408</v>
      </c>
      <c r="AS5" s="43">
        <v>2332</v>
      </c>
      <c r="AT5" s="43">
        <v>2239</v>
      </c>
      <c r="AU5" s="43">
        <v>2545</v>
      </c>
      <c r="AV5" s="43">
        <v>2303</v>
      </c>
      <c r="AW5" s="43">
        <v>2318</v>
      </c>
      <c r="AX5" s="43">
        <v>2419</v>
      </c>
      <c r="AY5" s="43">
        <v>2618</v>
      </c>
      <c r="AZ5" s="43">
        <v>2359</v>
      </c>
      <c r="BA5" s="43">
        <v>2276</v>
      </c>
      <c r="BB5" s="43">
        <v>2381</v>
      </c>
      <c r="BC5" s="43">
        <v>2533</v>
      </c>
      <c r="BD5" s="43">
        <v>2294</v>
      </c>
      <c r="BE5" s="43">
        <v>2398</v>
      </c>
      <c r="BF5" s="43">
        <v>2267</v>
      </c>
      <c r="BG5" s="43">
        <v>2375</v>
      </c>
      <c r="BH5" s="43">
        <v>1786</v>
      </c>
      <c r="BI5" s="43">
        <v>1899</v>
      </c>
      <c r="BJ5" s="43">
        <v>1613</v>
      </c>
      <c r="BK5" s="43">
        <v>1805</v>
      </c>
      <c r="BL5" s="43">
        <v>1470</v>
      </c>
      <c r="BM5" s="43">
        <v>1355</v>
      </c>
      <c r="BN5" s="43">
        <v>1214</v>
      </c>
      <c r="BO5" s="43">
        <v>1701</v>
      </c>
      <c r="BP5" s="43">
        <v>1273</v>
      </c>
      <c r="BQ5" s="43">
        <v>1365</v>
      </c>
      <c r="BR5" s="43">
        <v>1521</v>
      </c>
      <c r="BS5" s="43"/>
      <c r="BT5" s="43"/>
      <c r="BU5" s="43"/>
      <c r="BV5" s="43"/>
      <c r="BW5" s="44"/>
      <c r="BX5" s="43"/>
      <c r="BY5" s="43"/>
      <c r="BZ5" s="43"/>
      <c r="CA5" s="43"/>
      <c r="CB5" s="43"/>
      <c r="CC5" s="43"/>
      <c r="CD5" s="43"/>
      <c r="CE5" s="43"/>
      <c r="CF5" s="43"/>
      <c r="CG5" s="43"/>
      <c r="CH5" s="43"/>
      <c r="CI5" s="43"/>
      <c r="CJ5" s="43"/>
      <c r="CK5" s="43"/>
      <c r="CL5" s="43"/>
      <c r="CM5" s="43"/>
      <c r="CN5" s="43"/>
      <c r="CO5" s="43"/>
      <c r="CP5" s="45"/>
      <c r="CQ5" s="45"/>
      <c r="CR5" s="45"/>
      <c r="CS5" s="45"/>
      <c r="CT5" s="45">
        <f t="shared" si="3"/>
        <v>9634</v>
      </c>
      <c r="CU5" s="45">
        <f t="shared" si="4"/>
        <v>9492</v>
      </c>
      <c r="CV5" s="45">
        <f t="shared" si="5"/>
        <v>7673</v>
      </c>
      <c r="CW5" s="45">
        <f t="shared" si="6"/>
        <v>5844</v>
      </c>
      <c r="CX5" s="45">
        <f t="shared" si="1"/>
        <v>5860</v>
      </c>
      <c r="CY5" s="45">
        <f t="shared" si="2"/>
        <v>0</v>
      </c>
      <c r="CZ5" s="45"/>
      <c r="DA5" s="45"/>
      <c r="DB5" s="45"/>
      <c r="DC5" s="45"/>
      <c r="DD5" s="45"/>
      <c r="DE5" s="45"/>
      <c r="DF5" s="45"/>
      <c r="DG5" s="45"/>
      <c r="DH5" s="45"/>
      <c r="DI5" s="45"/>
      <c r="DJ5" s="45"/>
      <c r="DK5" s="45"/>
      <c r="DL5" s="45"/>
      <c r="DM5" s="45"/>
      <c r="DN5" s="45"/>
      <c r="DO5" s="45"/>
      <c r="DP5" s="45"/>
      <c r="DQ5" s="45"/>
      <c r="DR5" s="45"/>
      <c r="DS5" s="45"/>
      <c r="DT5" s="45"/>
      <c r="DU5" s="45"/>
      <c r="DV5" s="45"/>
      <c r="DW5" s="45"/>
      <c r="DX5" s="45"/>
      <c r="DY5" s="45"/>
      <c r="DZ5" s="45"/>
      <c r="EA5" s="45"/>
      <c r="EB5" s="45"/>
      <c r="EC5" s="45"/>
      <c r="ED5" s="45"/>
      <c r="EE5" s="45"/>
      <c r="EF5" s="45"/>
      <c r="EG5" s="45"/>
      <c r="EH5" s="45"/>
      <c r="EI5" s="45"/>
      <c r="EJ5" s="45"/>
      <c r="EK5" s="45"/>
      <c r="EL5" s="45"/>
      <c r="EM5" s="45"/>
      <c r="EN5" s="45"/>
      <c r="EO5" s="45"/>
    </row>
    <row r="6" spans="1:145" s="17" customFormat="1" ht="12.95" customHeight="1">
      <c r="A6" s="35"/>
      <c r="B6" s="35" t="s">
        <v>176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Q6" s="17">
        <v>141</v>
      </c>
      <c r="AR6" s="43">
        <f>4936-AR3</f>
        <v>137</v>
      </c>
      <c r="AS6" s="43">
        <f>4609-AS3</f>
        <v>164</v>
      </c>
      <c r="AT6" s="43">
        <v>199</v>
      </c>
      <c r="AU6" s="43">
        <v>212</v>
      </c>
      <c r="AV6" s="43">
        <v>257</v>
      </c>
      <c r="AW6" s="43">
        <v>278</v>
      </c>
      <c r="AX6" s="43">
        <v>246</v>
      </c>
      <c r="AY6" s="43">
        <v>337</v>
      </c>
      <c r="AZ6" s="43">
        <v>334</v>
      </c>
      <c r="BA6" s="43">
        <v>296</v>
      </c>
      <c r="BB6" s="43">
        <v>324</v>
      </c>
      <c r="BC6" s="43">
        <v>420</v>
      </c>
      <c r="BD6" s="43">
        <v>421</v>
      </c>
      <c r="BE6" s="43">
        <v>446</v>
      </c>
      <c r="BF6" s="43">
        <v>424</v>
      </c>
      <c r="BG6" s="43">
        <v>637</v>
      </c>
      <c r="BH6" s="43">
        <v>715</v>
      </c>
      <c r="BI6" s="43">
        <v>807</v>
      </c>
      <c r="BJ6" s="43">
        <v>730</v>
      </c>
      <c r="BK6" s="43">
        <v>971</v>
      </c>
      <c r="BL6" s="43">
        <v>986</v>
      </c>
      <c r="BM6" s="43">
        <v>864</v>
      </c>
      <c r="BN6" s="43">
        <v>909</v>
      </c>
      <c r="BO6" s="43">
        <v>1267</v>
      </c>
      <c r="BP6" s="43">
        <v>1163</v>
      </c>
      <c r="BQ6" s="43">
        <v>1153</v>
      </c>
      <c r="BR6" s="43">
        <v>1346</v>
      </c>
      <c r="BS6" s="43"/>
      <c r="BT6" s="43"/>
      <c r="BU6" s="43"/>
      <c r="BV6" s="43"/>
      <c r="BW6" s="44"/>
      <c r="BX6" s="43"/>
      <c r="BY6" s="43"/>
      <c r="BZ6" s="43"/>
      <c r="CA6" s="43"/>
      <c r="CB6" s="43"/>
      <c r="CC6" s="43"/>
      <c r="CD6" s="43"/>
      <c r="CE6" s="43"/>
      <c r="CF6" s="43"/>
      <c r="CG6" s="43"/>
      <c r="CH6" s="43"/>
      <c r="CI6" s="43"/>
      <c r="CJ6" s="43"/>
      <c r="CK6" s="43"/>
      <c r="CL6" s="43"/>
      <c r="CM6" s="43"/>
      <c r="CN6" s="43"/>
      <c r="CO6" s="43"/>
      <c r="CP6" s="45"/>
      <c r="CQ6" s="45"/>
      <c r="CR6" s="45"/>
      <c r="CS6" s="45"/>
      <c r="CT6" s="45">
        <f t="shared" si="3"/>
        <v>1291</v>
      </c>
      <c r="CU6" s="45">
        <f t="shared" si="4"/>
        <v>1711</v>
      </c>
      <c r="CV6" s="45">
        <f t="shared" si="5"/>
        <v>2889</v>
      </c>
      <c r="CW6" s="45">
        <f t="shared" si="6"/>
        <v>3730</v>
      </c>
      <c r="CX6" s="45">
        <f t="shared" si="1"/>
        <v>4929</v>
      </c>
      <c r="CY6" s="45">
        <f t="shared" si="2"/>
        <v>0</v>
      </c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</row>
    <row r="7" spans="1:145" s="17" customFormat="1" ht="12.95" customHeight="1">
      <c r="A7" s="35"/>
      <c r="B7" s="35" t="s">
        <v>426</v>
      </c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R7" s="43"/>
      <c r="AS7" s="43"/>
      <c r="AT7" s="43"/>
      <c r="AU7" s="43"/>
      <c r="AV7" s="43"/>
      <c r="AW7" s="43"/>
      <c r="AX7" s="43"/>
      <c r="AY7" s="43"/>
      <c r="AZ7" s="43"/>
      <c r="BA7" s="43"/>
      <c r="BB7" s="43"/>
      <c r="BC7" s="43"/>
      <c r="BD7" s="43"/>
      <c r="BE7" s="43"/>
      <c r="BF7" s="43"/>
      <c r="BG7" s="43"/>
      <c r="BH7" s="43"/>
      <c r="BI7" s="43"/>
      <c r="BJ7" s="43"/>
      <c r="BK7" s="43"/>
      <c r="BL7" s="43"/>
      <c r="BM7" s="43"/>
      <c r="BN7" s="43"/>
      <c r="BO7" s="43"/>
      <c r="BP7" s="43">
        <v>2</v>
      </c>
      <c r="BQ7" s="43">
        <v>7</v>
      </c>
      <c r="BR7" s="43">
        <v>10</v>
      </c>
      <c r="BS7" s="43"/>
      <c r="BT7" s="43"/>
      <c r="BU7" s="43"/>
      <c r="BV7" s="43"/>
      <c r="BW7" s="44"/>
      <c r="BX7" s="43"/>
      <c r="BY7" s="43"/>
      <c r="BZ7" s="43"/>
      <c r="CA7" s="43"/>
      <c r="CB7" s="43"/>
      <c r="CC7" s="43"/>
      <c r="CD7" s="43"/>
      <c r="CE7" s="43"/>
      <c r="CF7" s="43"/>
      <c r="CG7" s="43"/>
      <c r="CH7" s="43"/>
      <c r="CI7" s="43"/>
      <c r="CJ7" s="43"/>
      <c r="CK7" s="43"/>
      <c r="CL7" s="43"/>
      <c r="CM7" s="43"/>
      <c r="CN7" s="43"/>
      <c r="CO7" s="43"/>
      <c r="CP7" s="45"/>
      <c r="CQ7" s="45"/>
      <c r="CR7" s="45"/>
      <c r="CS7" s="45"/>
      <c r="CT7" s="45"/>
      <c r="CU7" s="45"/>
      <c r="CV7" s="45"/>
      <c r="CW7" s="45"/>
      <c r="CX7" s="45"/>
      <c r="CY7" s="45">
        <f t="shared" si="2"/>
        <v>0</v>
      </c>
      <c r="CZ7" s="45"/>
      <c r="DA7" s="45"/>
      <c r="DB7" s="45"/>
      <c r="DC7" s="45"/>
      <c r="DD7" s="45"/>
      <c r="DE7" s="45"/>
      <c r="DF7" s="45"/>
      <c r="DG7" s="45"/>
      <c r="DH7" s="45"/>
      <c r="DI7" s="45"/>
      <c r="DJ7" s="45"/>
      <c r="DK7" s="45"/>
      <c r="DL7" s="45"/>
      <c r="DM7" s="45"/>
      <c r="DN7" s="45"/>
      <c r="DO7" s="45"/>
      <c r="DP7" s="45"/>
      <c r="DQ7" s="45"/>
      <c r="DR7" s="45"/>
      <c r="DS7" s="45"/>
      <c r="DT7" s="45"/>
      <c r="DU7" s="45"/>
      <c r="DV7" s="45"/>
      <c r="DW7" s="45"/>
      <c r="DX7" s="45"/>
      <c r="DY7" s="45"/>
      <c r="DZ7" s="45"/>
      <c r="EA7" s="45"/>
      <c r="EB7" s="45"/>
      <c r="EC7" s="45"/>
      <c r="ED7" s="45"/>
      <c r="EE7" s="45"/>
      <c r="EF7" s="45"/>
      <c r="EG7" s="45"/>
      <c r="EH7" s="45"/>
      <c r="EI7" s="45"/>
      <c r="EJ7" s="45"/>
      <c r="EK7" s="45"/>
      <c r="EL7" s="45"/>
      <c r="EM7" s="45"/>
      <c r="EN7" s="45"/>
      <c r="EO7" s="45"/>
    </row>
    <row r="8" spans="1:145" s="17" customFormat="1" ht="12.95" customHeight="1">
      <c r="A8" s="35"/>
      <c r="B8" s="35" t="s">
        <v>124</v>
      </c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>
        <v>9</v>
      </c>
      <c r="X8" s="43">
        <v>24</v>
      </c>
      <c r="Y8" s="43">
        <v>42</v>
      </c>
      <c r="Z8" s="43">
        <v>68</v>
      </c>
      <c r="AA8" s="43">
        <v>80</v>
      </c>
      <c r="AB8" s="43">
        <v>141</v>
      </c>
      <c r="AC8" s="43"/>
      <c r="AD8" s="43"/>
      <c r="AE8" s="43">
        <v>271</v>
      </c>
      <c r="AF8" s="43">
        <v>330</v>
      </c>
      <c r="AG8" s="43">
        <v>376</v>
      </c>
      <c r="AH8" s="43">
        <v>461</v>
      </c>
      <c r="AI8" s="43">
        <v>626</v>
      </c>
      <c r="AJ8" s="43">
        <v>983</v>
      </c>
      <c r="AK8" s="43">
        <v>1143</v>
      </c>
      <c r="AL8" s="43">
        <v>1707</v>
      </c>
      <c r="AM8" s="43"/>
      <c r="AN8" s="43"/>
      <c r="AO8" s="43"/>
      <c r="AP8" s="43"/>
      <c r="AQ8" s="43">
        <v>1755</v>
      </c>
      <c r="AR8" s="43">
        <v>1952</v>
      </c>
      <c r="AS8" s="43">
        <v>2156</v>
      </c>
      <c r="AT8" s="43">
        <v>2172</v>
      </c>
      <c r="AU8" s="43">
        <v>2147</v>
      </c>
      <c r="AV8" s="43">
        <v>2495</v>
      </c>
      <c r="AW8" s="43">
        <v>2306</v>
      </c>
      <c r="AX8" s="43">
        <v>2311</v>
      </c>
      <c r="AY8" s="43">
        <v>2460</v>
      </c>
      <c r="AZ8" s="43">
        <v>2158</v>
      </c>
      <c r="BA8" s="43">
        <v>2102</v>
      </c>
      <c r="BB8" s="43">
        <v>2248</v>
      </c>
      <c r="BC8" s="43">
        <v>2365</v>
      </c>
      <c r="BD8" s="43">
        <v>2192</v>
      </c>
      <c r="BE8" s="43">
        <v>2441</v>
      </c>
      <c r="BF8" s="43">
        <v>2731</v>
      </c>
      <c r="BG8" s="43">
        <v>2564</v>
      </c>
      <c r="BH8" s="43">
        <v>2269</v>
      </c>
      <c r="BI8" s="43">
        <v>2273</v>
      </c>
      <c r="BJ8" s="43">
        <v>2247</v>
      </c>
      <c r="BK8" s="43">
        <v>2179</v>
      </c>
      <c r="BL8" s="43">
        <v>1747</v>
      </c>
      <c r="BM8" s="43">
        <v>1910</v>
      </c>
      <c r="BN8" s="43">
        <v>1916</v>
      </c>
      <c r="BO8" s="43">
        <v>2763</v>
      </c>
      <c r="BP8" s="43">
        <v>2297</v>
      </c>
      <c r="BQ8" s="43">
        <v>2110</v>
      </c>
      <c r="BR8" s="43">
        <v>2735</v>
      </c>
      <c r="BS8" s="43"/>
      <c r="BT8" s="43"/>
      <c r="BU8" s="43"/>
      <c r="BV8" s="43"/>
      <c r="BW8" s="44"/>
      <c r="BX8" s="43"/>
      <c r="BY8" s="43"/>
      <c r="BZ8" s="43"/>
      <c r="CA8" s="43"/>
      <c r="CB8" s="43"/>
      <c r="CC8" s="43"/>
      <c r="CD8" s="43"/>
      <c r="CE8" s="43"/>
      <c r="CF8" s="43"/>
      <c r="CG8" s="43"/>
      <c r="CH8" s="43"/>
      <c r="CI8" s="43"/>
      <c r="CJ8" s="43"/>
      <c r="CK8" s="43"/>
      <c r="CL8" s="43"/>
      <c r="CM8" s="43"/>
      <c r="CN8" s="43"/>
      <c r="CO8" s="43"/>
      <c r="CP8" s="45"/>
      <c r="CQ8" s="45"/>
      <c r="CR8" s="45"/>
      <c r="CS8" s="45"/>
      <c r="CT8" s="45">
        <f t="shared" si="3"/>
        <v>8968</v>
      </c>
      <c r="CU8" s="45">
        <f t="shared" si="4"/>
        <v>9729</v>
      </c>
      <c r="CV8" s="45">
        <f t="shared" si="5"/>
        <v>9353</v>
      </c>
      <c r="CW8" s="45">
        <f t="shared" si="6"/>
        <v>7752</v>
      </c>
      <c r="CX8" s="45">
        <f t="shared" si="1"/>
        <v>9905</v>
      </c>
      <c r="CY8" s="45">
        <f t="shared" si="2"/>
        <v>0</v>
      </c>
      <c r="CZ8" s="45"/>
      <c r="DA8" s="45"/>
      <c r="DB8" s="45"/>
      <c r="DC8" s="45"/>
      <c r="DD8" s="45"/>
      <c r="DE8" s="45"/>
      <c r="DF8" s="45"/>
      <c r="DG8" s="45"/>
      <c r="DH8" s="45"/>
      <c r="DI8" s="45"/>
      <c r="DJ8" s="45"/>
      <c r="DK8" s="45"/>
      <c r="DL8" s="45"/>
      <c r="DM8" s="45"/>
      <c r="DN8" s="45"/>
      <c r="DO8" s="45"/>
      <c r="DP8" s="45"/>
      <c r="DQ8" s="45"/>
      <c r="DR8" s="45"/>
      <c r="DS8" s="45"/>
      <c r="DT8" s="45"/>
      <c r="DU8" s="45"/>
      <c r="DV8" s="45"/>
      <c r="DW8" s="45"/>
      <c r="DX8" s="45"/>
      <c r="DY8" s="45"/>
      <c r="DZ8" s="45"/>
      <c r="EA8" s="45"/>
      <c r="EB8" s="45"/>
      <c r="EC8" s="45"/>
      <c r="ED8" s="45"/>
      <c r="EE8" s="45"/>
      <c r="EF8" s="45"/>
      <c r="EG8" s="45"/>
      <c r="EH8" s="45"/>
      <c r="EI8" s="45"/>
      <c r="EJ8" s="45"/>
      <c r="EK8" s="45"/>
      <c r="EL8" s="45"/>
      <c r="EM8" s="45"/>
      <c r="EN8" s="45"/>
      <c r="EO8" s="45"/>
    </row>
    <row r="9" spans="1:145" s="17" customFormat="1" ht="12.95" customHeight="1">
      <c r="A9" s="35"/>
      <c r="B9" s="35" t="s">
        <v>125</v>
      </c>
      <c r="C9" s="43"/>
      <c r="D9" s="43"/>
      <c r="E9" s="43"/>
      <c r="F9" s="43"/>
      <c r="G9" s="43"/>
      <c r="H9" s="43"/>
      <c r="I9" s="43"/>
      <c r="J9" s="43"/>
      <c r="K9" s="43">
        <v>1517</v>
      </c>
      <c r="L9" s="43">
        <f>3277-K9</f>
        <v>1760</v>
      </c>
      <c r="M9" s="43">
        <f>5067-L9-K9</f>
        <v>1790</v>
      </c>
      <c r="N9" s="43">
        <f>6880-M9-L9-K9</f>
        <v>1813</v>
      </c>
      <c r="O9" s="43">
        <v>1775</v>
      </c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>
        <v>3118</v>
      </c>
      <c r="AB9" s="43">
        <f>6736-AA9</f>
        <v>3618</v>
      </c>
      <c r="AC9" s="43"/>
      <c r="AD9" s="43"/>
      <c r="AE9" s="43"/>
      <c r="AF9" s="43"/>
      <c r="AG9" s="43"/>
      <c r="AH9" s="43"/>
      <c r="AI9" s="43"/>
      <c r="AJ9" s="43"/>
      <c r="AK9" s="43"/>
      <c r="AL9" s="43"/>
      <c r="AM9" s="43"/>
      <c r="AN9" s="43"/>
      <c r="AO9" s="43"/>
      <c r="AP9" s="43"/>
      <c r="AQ9" s="43">
        <v>2780</v>
      </c>
      <c r="AR9" s="43">
        <v>3023</v>
      </c>
      <c r="AS9" s="43">
        <v>2560</v>
      </c>
      <c r="AT9" s="43">
        <v>2832</v>
      </c>
      <c r="AU9" s="43">
        <v>2620</v>
      </c>
      <c r="AV9" s="43">
        <v>2342</v>
      </c>
      <c r="AW9" s="43">
        <v>2138</v>
      </c>
      <c r="AX9" s="43">
        <v>2207</v>
      </c>
      <c r="AY9" s="43">
        <v>2036</v>
      </c>
      <c r="AZ9" s="43">
        <v>1486</v>
      </c>
      <c r="BA9" s="43">
        <v>1342</v>
      </c>
      <c r="BB9" s="43">
        <v>2163</v>
      </c>
      <c r="BC9" s="43">
        <v>1776</v>
      </c>
      <c r="BD9" s="43">
        <v>1312</v>
      </c>
      <c r="BE9" s="43">
        <v>1317</v>
      </c>
      <c r="BF9" s="43">
        <v>1273</v>
      </c>
      <c r="BG9" s="43">
        <v>1515</v>
      </c>
      <c r="BH9" s="43">
        <v>1144</v>
      </c>
      <c r="BI9" s="43">
        <v>961</v>
      </c>
      <c r="BJ9" s="43">
        <v>959</v>
      </c>
      <c r="BK9" s="43">
        <v>1173</v>
      </c>
      <c r="BL9" s="43">
        <v>753</v>
      </c>
      <c r="BM9" s="43">
        <v>984</v>
      </c>
      <c r="BN9" s="43">
        <v>1024</v>
      </c>
      <c r="BO9" s="43">
        <v>1279</v>
      </c>
      <c r="BP9" s="43">
        <v>1371</v>
      </c>
      <c r="BQ9" s="43">
        <v>879</v>
      </c>
      <c r="BR9" s="43">
        <v>1139</v>
      </c>
      <c r="BS9" s="43"/>
      <c r="BT9" s="43"/>
      <c r="BU9" s="43"/>
      <c r="BV9" s="43"/>
      <c r="BW9" s="44"/>
      <c r="BX9" s="43"/>
      <c r="BY9" s="43"/>
      <c r="BZ9" s="43"/>
      <c r="CA9" s="43"/>
      <c r="CB9" s="43"/>
      <c r="CC9" s="43"/>
      <c r="CD9" s="43"/>
      <c r="CE9" s="43"/>
      <c r="CF9" s="43"/>
      <c r="CG9" s="43"/>
      <c r="CH9" s="43"/>
      <c r="CI9" s="43"/>
      <c r="CJ9" s="43"/>
      <c r="CK9" s="43"/>
      <c r="CL9" s="43"/>
      <c r="CM9" s="43"/>
      <c r="CN9" s="43"/>
      <c r="CO9" s="43"/>
      <c r="CP9" s="45"/>
      <c r="CQ9" s="45"/>
      <c r="CR9" s="45"/>
      <c r="CS9" s="45"/>
      <c r="CT9" s="45">
        <f t="shared" si="3"/>
        <v>7027</v>
      </c>
      <c r="CU9" s="45">
        <f t="shared" si="4"/>
        <v>5678</v>
      </c>
      <c r="CV9" s="45">
        <f t="shared" si="5"/>
        <v>4579</v>
      </c>
      <c r="CW9" s="45">
        <f t="shared" si="6"/>
        <v>3934</v>
      </c>
      <c r="CX9" s="45">
        <f t="shared" si="1"/>
        <v>4668</v>
      </c>
      <c r="CY9" s="45">
        <f t="shared" si="2"/>
        <v>0</v>
      </c>
      <c r="CZ9" s="45"/>
      <c r="DA9" s="45"/>
      <c r="DB9" s="45"/>
      <c r="DC9" s="45"/>
      <c r="DD9" s="45"/>
      <c r="DE9" s="45"/>
      <c r="DF9" s="45"/>
      <c r="DG9" s="45"/>
      <c r="DH9" s="45"/>
      <c r="DI9" s="45"/>
      <c r="DJ9" s="45"/>
      <c r="DK9" s="45"/>
      <c r="DL9" s="45"/>
      <c r="DM9" s="45"/>
      <c r="DN9" s="45"/>
      <c r="DO9" s="45"/>
      <c r="DP9" s="45"/>
      <c r="DQ9" s="45"/>
      <c r="DR9" s="45"/>
      <c r="DS9" s="45"/>
      <c r="DT9" s="45"/>
      <c r="DU9" s="45"/>
      <c r="DV9" s="45"/>
      <c r="DW9" s="45"/>
      <c r="DX9" s="45"/>
      <c r="DY9" s="45"/>
      <c r="DZ9" s="45"/>
      <c r="EA9" s="45"/>
      <c r="EB9" s="45"/>
      <c r="EC9" s="45"/>
      <c r="ED9" s="45"/>
      <c r="EE9" s="45"/>
      <c r="EF9" s="45"/>
      <c r="EG9" s="45"/>
      <c r="EH9" s="45"/>
      <c r="EI9" s="45"/>
      <c r="EJ9" s="45"/>
      <c r="EK9" s="45"/>
      <c r="EL9" s="45"/>
      <c r="EM9" s="45"/>
      <c r="EN9" s="45"/>
      <c r="EO9" s="45"/>
    </row>
    <row r="10" spans="1:145" s="17" customFormat="1" ht="12.95" customHeight="1">
      <c r="A10" s="35"/>
      <c r="B10" s="35" t="s">
        <v>174</v>
      </c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  <c r="AA10" s="43"/>
      <c r="AB10" s="43"/>
      <c r="AC10" s="43"/>
      <c r="AD10" s="43"/>
      <c r="AE10" s="43"/>
      <c r="AF10" s="43"/>
      <c r="AG10" s="43"/>
      <c r="AH10" s="43"/>
      <c r="AI10" s="43"/>
      <c r="AJ10" s="43"/>
      <c r="AK10" s="43"/>
      <c r="AL10" s="43"/>
      <c r="AM10" s="43"/>
      <c r="AN10" s="43"/>
      <c r="AO10" s="43"/>
      <c r="AQ10" s="17">
        <v>338</v>
      </c>
      <c r="AR10" s="43">
        <f>5357-AR8-AR9</f>
        <v>382</v>
      </c>
      <c r="AS10" s="43">
        <f>5158-AS8-AS9</f>
        <v>442</v>
      </c>
      <c r="AT10" s="43">
        <v>452</v>
      </c>
      <c r="AU10" s="43">
        <v>477</v>
      </c>
      <c r="AV10" s="43">
        <v>574</v>
      </c>
      <c r="AW10" s="43">
        <v>575</v>
      </c>
      <c r="AX10" s="43">
        <v>584</v>
      </c>
      <c r="AY10" s="43">
        <v>662</v>
      </c>
      <c r="AZ10" s="43">
        <v>576</v>
      </c>
      <c r="BA10" s="43">
        <v>604</v>
      </c>
      <c r="BB10" s="43">
        <v>602</v>
      </c>
      <c r="BC10" s="43">
        <v>681</v>
      </c>
      <c r="BD10" s="43">
        <v>645</v>
      </c>
      <c r="BE10" s="43">
        <v>658</v>
      </c>
      <c r="BF10" s="43">
        <v>673</v>
      </c>
      <c r="BG10" s="43">
        <v>717</v>
      </c>
      <c r="BH10" s="43">
        <v>691</v>
      </c>
      <c r="BI10" s="43">
        <v>705</v>
      </c>
      <c r="BJ10" s="43">
        <v>696</v>
      </c>
      <c r="BK10" s="43">
        <v>781</v>
      </c>
      <c r="BL10" s="43">
        <v>854</v>
      </c>
      <c r="BM10" s="43">
        <v>798</v>
      </c>
      <c r="BN10" s="43">
        <v>786</v>
      </c>
      <c r="BO10" s="43">
        <v>1123</v>
      </c>
      <c r="BP10" s="43">
        <v>1067</v>
      </c>
      <c r="BQ10" s="43">
        <v>1039</v>
      </c>
      <c r="BR10" s="43">
        <v>1274</v>
      </c>
      <c r="BS10" s="43"/>
      <c r="BT10" s="43"/>
      <c r="BU10" s="43"/>
      <c r="BV10" s="43"/>
      <c r="BW10" s="44"/>
      <c r="BX10" s="43"/>
      <c r="BY10" s="43"/>
      <c r="BZ10" s="43"/>
      <c r="CA10" s="43"/>
      <c r="CB10" s="43"/>
      <c r="CC10" s="43"/>
      <c r="CD10" s="43"/>
      <c r="CE10" s="43"/>
      <c r="CF10" s="43"/>
      <c r="CG10" s="43"/>
      <c r="CH10" s="43"/>
      <c r="CI10" s="43"/>
      <c r="CJ10" s="43"/>
      <c r="CK10" s="43"/>
      <c r="CL10" s="43"/>
      <c r="CM10" s="43"/>
      <c r="CN10" s="43"/>
      <c r="CO10" s="43"/>
      <c r="CP10" s="45"/>
      <c r="CQ10" s="45"/>
      <c r="CR10" s="45"/>
      <c r="CS10" s="45"/>
      <c r="CT10" s="45">
        <f t="shared" si="3"/>
        <v>2444</v>
      </c>
      <c r="CU10" s="45">
        <f t="shared" si="4"/>
        <v>2657</v>
      </c>
      <c r="CV10" s="45">
        <f t="shared" si="5"/>
        <v>2809</v>
      </c>
      <c r="CW10" s="45">
        <f t="shared" si="6"/>
        <v>3219</v>
      </c>
      <c r="CX10" s="45">
        <f t="shared" si="1"/>
        <v>4503</v>
      </c>
      <c r="CY10" s="45">
        <f t="shared" si="2"/>
        <v>0</v>
      </c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5"/>
      <c r="DR10" s="45"/>
      <c r="DS10" s="45"/>
      <c r="DT10" s="45"/>
      <c r="DU10" s="45"/>
      <c r="DV10" s="45"/>
      <c r="DW10" s="45"/>
      <c r="DX10" s="45"/>
      <c r="DY10" s="45"/>
      <c r="DZ10" s="45"/>
      <c r="EA10" s="45"/>
      <c r="EB10" s="45"/>
      <c r="EC10" s="45"/>
      <c r="ED10" s="45"/>
      <c r="EE10" s="45"/>
      <c r="EF10" s="45"/>
      <c r="EG10" s="45"/>
      <c r="EH10" s="45"/>
      <c r="EI10" s="45"/>
      <c r="EJ10" s="45"/>
      <c r="EK10" s="45"/>
      <c r="EL10" s="45"/>
      <c r="EM10" s="45"/>
      <c r="EN10" s="45"/>
      <c r="EO10" s="45"/>
    </row>
    <row r="11" spans="1:145" s="17" customFormat="1" ht="12.95" customHeight="1">
      <c r="A11" s="35"/>
      <c r="B11" s="35" t="s">
        <v>126</v>
      </c>
      <c r="C11" s="44">
        <v>3821</v>
      </c>
      <c r="D11" s="44">
        <v>4103</v>
      </c>
      <c r="E11" s="44">
        <v>4365</v>
      </c>
      <c r="F11" s="44">
        <v>5028</v>
      </c>
      <c r="G11" s="43">
        <v>4990</v>
      </c>
      <c r="H11" s="43">
        <v>5414</v>
      </c>
      <c r="I11" s="43">
        <v>5353</v>
      </c>
      <c r="J11" s="43">
        <f>21471-I11-H11-G11</f>
        <v>5714</v>
      </c>
      <c r="K11" s="43">
        <f>SUM(K3:K9)</f>
        <v>5862</v>
      </c>
      <c r="L11" s="43">
        <f>SUM(L3:L9)</f>
        <v>6792</v>
      </c>
      <c r="M11" s="43">
        <f>SUM(M3:M9)</f>
        <v>6820</v>
      </c>
      <c r="N11" s="43">
        <f>SUM(N3:N9)</f>
        <v>7127</v>
      </c>
      <c r="O11" s="43">
        <f>SUM(O3:O9)</f>
        <v>6705</v>
      </c>
      <c r="P11" s="43">
        <f t="shared" ref="P11:AB11" si="7">SUM(P3:P9)</f>
        <v>0</v>
      </c>
      <c r="Q11" s="43">
        <f t="shared" si="7"/>
        <v>0</v>
      </c>
      <c r="R11" s="43">
        <f t="shared" si="7"/>
        <v>0</v>
      </c>
      <c r="S11" s="43">
        <f t="shared" si="7"/>
        <v>0</v>
      </c>
      <c r="T11" s="43">
        <f t="shared" si="7"/>
        <v>0</v>
      </c>
      <c r="U11" s="43">
        <f t="shared" si="7"/>
        <v>0</v>
      </c>
      <c r="V11" s="43">
        <f t="shared" si="7"/>
        <v>0</v>
      </c>
      <c r="W11" s="43">
        <f t="shared" si="7"/>
        <v>9</v>
      </c>
      <c r="X11" s="43">
        <f t="shared" si="7"/>
        <v>24</v>
      </c>
      <c r="Y11" s="43">
        <f t="shared" si="7"/>
        <v>42</v>
      </c>
      <c r="Z11" s="43">
        <f t="shared" si="7"/>
        <v>68</v>
      </c>
      <c r="AA11" s="43">
        <f t="shared" si="7"/>
        <v>9457</v>
      </c>
      <c r="AB11" s="43">
        <f t="shared" si="7"/>
        <v>10492</v>
      </c>
      <c r="AC11" s="45"/>
      <c r="AD11" s="43"/>
      <c r="AE11" s="43">
        <v>11498</v>
      </c>
      <c r="AF11" s="43">
        <v>12604</v>
      </c>
      <c r="AG11" s="43">
        <v>12500</v>
      </c>
      <c r="AH11" s="43">
        <v>13562</v>
      </c>
      <c r="AI11" s="43">
        <v>11715</v>
      </c>
      <c r="AJ11" s="43">
        <v>11806</v>
      </c>
      <c r="AK11" s="43">
        <v>11770</v>
      </c>
      <c r="AL11" s="43">
        <v>12219</v>
      </c>
      <c r="AM11" s="43"/>
      <c r="AN11" s="43"/>
      <c r="AO11" s="43"/>
      <c r="AP11" s="43"/>
      <c r="AQ11" s="43">
        <f>SUM(AQ3:AQ10)</f>
        <v>12293</v>
      </c>
      <c r="AR11" s="43">
        <f>SUM(AR3:AR10)</f>
        <v>12880</v>
      </c>
      <c r="AS11" s="43">
        <f>SUM(AS3:AS10)</f>
        <v>12294</v>
      </c>
      <c r="AT11" s="43">
        <f t="shared" ref="AT11:AU11" si="8">SUM(AT3:AT10)</f>
        <v>12924</v>
      </c>
      <c r="AU11" s="43">
        <f t="shared" si="8"/>
        <v>12978</v>
      </c>
      <c r="AV11" s="43">
        <f t="shared" ref="AV11:BR11" si="9">SUM(AV3:AV10)</f>
        <v>12729</v>
      </c>
      <c r="AW11" s="43">
        <f t="shared" si="9"/>
        <v>12247</v>
      </c>
      <c r="AX11" s="43">
        <f t="shared" si="9"/>
        <v>12703</v>
      </c>
      <c r="AY11" s="43">
        <f t="shared" si="9"/>
        <v>13227</v>
      </c>
      <c r="AZ11" s="43">
        <f t="shared" si="9"/>
        <v>11292</v>
      </c>
      <c r="BA11" s="43">
        <f t="shared" si="9"/>
        <v>11209</v>
      </c>
      <c r="BB11" s="43">
        <f t="shared" si="9"/>
        <v>11949</v>
      </c>
      <c r="BC11" s="43">
        <f t="shared" si="9"/>
        <v>12331</v>
      </c>
      <c r="BD11" s="43">
        <f t="shared" si="9"/>
        <v>11116</v>
      </c>
      <c r="BE11" s="43">
        <f t="shared" si="9"/>
        <v>11619</v>
      </c>
      <c r="BF11" s="43">
        <f t="shared" si="9"/>
        <v>11888</v>
      </c>
      <c r="BG11" s="43">
        <f t="shared" si="9"/>
        <v>12650</v>
      </c>
      <c r="BH11" s="43">
        <f t="shared" si="9"/>
        <v>10492</v>
      </c>
      <c r="BI11" s="43">
        <f t="shared" si="9"/>
        <v>10908</v>
      </c>
      <c r="BJ11" s="43">
        <f t="shared" si="9"/>
        <v>10716</v>
      </c>
      <c r="BK11" s="43">
        <f t="shared" si="9"/>
        <v>11397</v>
      </c>
      <c r="BL11" s="43">
        <f t="shared" si="9"/>
        <v>9321</v>
      </c>
      <c r="BM11" s="43">
        <f t="shared" si="9"/>
        <v>9719</v>
      </c>
      <c r="BN11" s="43">
        <f t="shared" si="9"/>
        <v>9991</v>
      </c>
      <c r="BO11" s="43">
        <f>SUM(BO3:BO10)</f>
        <v>12620</v>
      </c>
      <c r="BP11" s="43">
        <f t="shared" si="9"/>
        <v>11041</v>
      </c>
      <c r="BQ11" s="43">
        <f t="shared" si="9"/>
        <v>10703</v>
      </c>
      <c r="BR11" s="43">
        <f t="shared" si="9"/>
        <v>14042</v>
      </c>
      <c r="BS11" s="43">
        <f t="shared" ref="BS11" si="10">+BO11*1.01</f>
        <v>12746.2</v>
      </c>
      <c r="BT11" s="43">
        <f t="shared" ref="BT11" si="11">+BP11*1.01</f>
        <v>11151.41</v>
      </c>
      <c r="BU11" s="43">
        <f t="shared" ref="BU11" si="12">+BQ11*1.01</f>
        <v>10810.03</v>
      </c>
      <c r="BV11" s="43">
        <f t="shared" ref="BV11" si="13">+BR11*1.01</f>
        <v>14182.42</v>
      </c>
      <c r="BW11" s="44"/>
      <c r="BX11" s="43"/>
      <c r="BY11" s="43"/>
      <c r="BZ11" s="43"/>
      <c r="CA11" s="43"/>
      <c r="CB11" s="43"/>
      <c r="CC11" s="43"/>
      <c r="CD11" s="43"/>
      <c r="CE11" s="43"/>
      <c r="CF11" s="43"/>
      <c r="CG11" s="43"/>
      <c r="CH11" s="43">
        <f>SUM(C11:F11)</f>
        <v>17317</v>
      </c>
      <c r="CI11" s="43">
        <f t="shared" ref="CI11:CI12" si="14">SUM(G11:J11)</f>
        <v>21471</v>
      </c>
      <c r="CJ11" s="43">
        <f t="shared" ref="CJ11:CJ12" si="15">SUM(K11:N11)</f>
        <v>26601</v>
      </c>
      <c r="CK11" s="43">
        <v>28765</v>
      </c>
      <c r="CL11" s="43">
        <v>34821</v>
      </c>
      <c r="CM11" s="43"/>
      <c r="CN11" s="43"/>
      <c r="CO11" s="43"/>
      <c r="CP11" s="45"/>
      <c r="CQ11" s="45"/>
      <c r="CR11" s="45"/>
      <c r="CS11" s="45"/>
      <c r="CT11" s="45">
        <f>SUM(CT3:CT10)</f>
        <v>47677</v>
      </c>
      <c r="CU11" s="45">
        <f t="shared" ref="CU11:CW11" si="16">SUM(CU3:CU10)</f>
        <v>46954</v>
      </c>
      <c r="CV11" s="45">
        <f t="shared" si="16"/>
        <v>44766</v>
      </c>
      <c r="CW11" s="45">
        <f t="shared" si="16"/>
        <v>40428</v>
      </c>
      <c r="CX11" s="45">
        <f>SUM(BO11:BR11)</f>
        <v>48406</v>
      </c>
      <c r="CY11" s="45">
        <f t="shared" si="2"/>
        <v>48890.06</v>
      </c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5"/>
      <c r="DR11" s="45"/>
      <c r="DS11" s="45"/>
      <c r="DT11" s="45"/>
      <c r="DU11" s="45"/>
      <c r="DV11" s="45"/>
      <c r="DW11" s="45"/>
      <c r="DX11" s="45"/>
      <c r="DY11" s="45"/>
      <c r="DZ11" s="45"/>
      <c r="EA11" s="45"/>
      <c r="EB11" s="45"/>
      <c r="EC11" s="45"/>
      <c r="ED11" s="45"/>
      <c r="EE11" s="45"/>
      <c r="EF11" s="45"/>
      <c r="EG11" s="45"/>
      <c r="EH11" s="45"/>
      <c r="EI11" s="45"/>
      <c r="EJ11" s="45"/>
      <c r="EK11" s="45"/>
      <c r="EL11" s="45"/>
      <c r="EM11" s="45"/>
      <c r="EN11" s="45"/>
      <c r="EO11" s="45"/>
    </row>
    <row r="12" spans="1:145" ht="12.95" customHeight="1">
      <c r="A12" s="40"/>
      <c r="B12" s="46" t="s">
        <v>127</v>
      </c>
      <c r="C12" s="44">
        <v>2939</v>
      </c>
      <c r="D12" s="44">
        <v>2966</v>
      </c>
      <c r="E12" s="44">
        <v>2806</v>
      </c>
      <c r="F12" s="44">
        <v>3093</v>
      </c>
      <c r="G12" s="43">
        <v>3004</v>
      </c>
      <c r="H12" s="43">
        <v>2879</v>
      </c>
      <c r="I12" s="43">
        <v>2747</v>
      </c>
      <c r="J12" s="43">
        <f>11315-I12-H12-G12</f>
        <v>2685</v>
      </c>
      <c r="K12" s="43">
        <v>2773</v>
      </c>
      <c r="L12" s="43">
        <v>3099</v>
      </c>
      <c r="M12" s="43">
        <v>2963</v>
      </c>
      <c r="N12" s="43">
        <v>2992</v>
      </c>
      <c r="O12" s="43">
        <v>2655</v>
      </c>
      <c r="P12" s="43"/>
      <c r="Q12" s="43"/>
      <c r="R12" s="43"/>
      <c r="S12" s="43"/>
      <c r="T12" s="43"/>
      <c r="U12" s="43"/>
      <c r="V12" s="43"/>
      <c r="W12" s="43">
        <v>2824</v>
      </c>
      <c r="X12" s="43">
        <v>2779</v>
      </c>
      <c r="Y12" s="43">
        <v>2572</v>
      </c>
      <c r="Z12" s="43">
        <v>2694</v>
      </c>
      <c r="AA12" s="43">
        <v>2573</v>
      </c>
      <c r="AB12" s="43">
        <f>5048-AA12</f>
        <v>2475</v>
      </c>
      <c r="AC12" s="43"/>
      <c r="AD12" s="43"/>
      <c r="AE12" s="43">
        <v>2897</v>
      </c>
      <c r="AF12" s="43">
        <v>2784</v>
      </c>
      <c r="AG12" s="43">
        <v>2772</v>
      </c>
      <c r="AH12" s="43">
        <v>2778</v>
      </c>
      <c r="AI12" s="43">
        <v>2725</v>
      </c>
      <c r="AJ12" s="43">
        <v>2667</v>
      </c>
      <c r="AK12" s="43">
        <v>2760</v>
      </c>
      <c r="AL12" s="43">
        <v>2938</v>
      </c>
      <c r="AM12" s="43"/>
      <c r="AN12" s="43"/>
      <c r="AO12" s="43"/>
      <c r="AP12" s="43"/>
      <c r="AQ12" s="43">
        <v>2366</v>
      </c>
      <c r="AR12" s="43">
        <v>2335</v>
      </c>
      <c r="AS12" s="43">
        <v>2386</v>
      </c>
      <c r="AT12" s="43">
        <v>2178</v>
      </c>
      <c r="AU12" s="43">
        <v>2415</v>
      </c>
      <c r="AV12" s="43">
        <v>2180</v>
      </c>
      <c r="AW12" s="43">
        <v>2237</v>
      </c>
      <c r="AX12" s="43">
        <v>2204</v>
      </c>
      <c r="AY12" s="43">
        <v>2687</v>
      </c>
      <c r="AZ12" s="43">
        <v>2314</v>
      </c>
      <c r="BA12" s="43">
        <v>2194</v>
      </c>
      <c r="BB12" s="43">
        <v>1678</v>
      </c>
      <c r="BC12" s="43">
        <v>2535</v>
      </c>
      <c r="BD12" s="43">
        <v>2041</v>
      </c>
      <c r="BE12" s="43">
        <v>2391</v>
      </c>
      <c r="BF12" s="43">
        <v>2085</v>
      </c>
      <c r="BG12" s="43">
        <v>2312</v>
      </c>
      <c r="BH12" s="43">
        <v>1851</v>
      </c>
      <c r="BI12" s="43">
        <v>2053</v>
      </c>
      <c r="BJ12" s="43">
        <v>1970</v>
      </c>
      <c r="BK12" s="43">
        <v>2012</v>
      </c>
      <c r="BL12" s="43">
        <v>1967</v>
      </c>
      <c r="BM12" s="43">
        <v>1626</v>
      </c>
      <c r="BN12" s="43">
        <v>1989</v>
      </c>
      <c r="BO12" s="43">
        <v>1745</v>
      </c>
      <c r="BP12" s="43">
        <v>1571</v>
      </c>
      <c r="BQ12" s="43">
        <v>1806</v>
      </c>
      <c r="BR12" s="43">
        <v>1845</v>
      </c>
      <c r="BS12" s="43"/>
      <c r="BT12" s="43"/>
      <c r="BU12" s="43"/>
      <c r="BV12" s="43"/>
      <c r="BW12" s="42"/>
      <c r="BX12" s="41"/>
      <c r="BY12" s="41"/>
      <c r="BZ12" s="41"/>
      <c r="CA12" s="41"/>
      <c r="CB12" s="41"/>
      <c r="CC12" s="41"/>
      <c r="CD12" s="41"/>
      <c r="CE12" s="41"/>
      <c r="CF12" s="41"/>
      <c r="CG12" s="41"/>
      <c r="CH12" s="43">
        <f t="shared" ref="CH12:CH32" si="17">SUM(C12:F12)</f>
        <v>11804</v>
      </c>
      <c r="CI12" s="43">
        <f t="shared" si="14"/>
        <v>11315</v>
      </c>
      <c r="CJ12" s="43">
        <f t="shared" si="15"/>
        <v>11827</v>
      </c>
      <c r="CK12" s="43">
        <v>10785</v>
      </c>
      <c r="CL12" s="43">
        <v>11302</v>
      </c>
      <c r="CM12" s="41"/>
      <c r="CN12" s="41"/>
      <c r="CO12" s="41"/>
      <c r="CP12" s="39"/>
      <c r="CQ12" s="45"/>
      <c r="CR12" s="45"/>
      <c r="CS12" s="45"/>
      <c r="CT12" s="45">
        <f t="shared" ref="CT12" si="18">SUM(AY12:BB12)</f>
        <v>8873</v>
      </c>
      <c r="CU12" s="45">
        <f t="shared" ref="CU12" si="19">SUM(BC12:BF12)</f>
        <v>9052</v>
      </c>
      <c r="CV12" s="45">
        <f t="shared" ref="CV12" si="20">SUM(BG12:BJ12)</f>
        <v>8186</v>
      </c>
      <c r="CW12" s="45">
        <f t="shared" ref="CW12" si="21">SUM(BK12:BN12)</f>
        <v>7594</v>
      </c>
      <c r="CX12" s="45">
        <f>SUM(BO12:BR12)</f>
        <v>6967</v>
      </c>
      <c r="CY12" s="45">
        <f t="shared" si="2"/>
        <v>0</v>
      </c>
      <c r="CZ12" s="45"/>
      <c r="DA12" s="45"/>
      <c r="DB12" s="45"/>
      <c r="DC12" s="45"/>
      <c r="DD12" s="45"/>
      <c r="DE12" s="39"/>
      <c r="DF12" s="39"/>
      <c r="DG12" s="39"/>
      <c r="DH12" s="39"/>
      <c r="DI12" s="39"/>
      <c r="DJ12" s="39"/>
      <c r="DK12" s="39"/>
      <c r="DL12" s="39"/>
      <c r="DM12" s="39"/>
      <c r="DN12" s="39"/>
      <c r="DO12" s="39"/>
      <c r="DP12" s="39"/>
      <c r="DQ12" s="39"/>
      <c r="DR12" s="39"/>
      <c r="DS12" s="39"/>
      <c r="DT12" s="39"/>
      <c r="DU12" s="39"/>
      <c r="DV12" s="39"/>
      <c r="DW12" s="39"/>
      <c r="DX12" s="39"/>
      <c r="DY12" s="39"/>
      <c r="DZ12" s="39"/>
      <c r="EA12" s="39"/>
      <c r="EB12" s="39"/>
      <c r="EC12" s="39"/>
      <c r="ED12" s="39"/>
      <c r="EE12" s="39"/>
      <c r="EF12" s="39"/>
      <c r="EG12" s="39"/>
      <c r="EH12" s="39"/>
      <c r="EI12" s="39"/>
      <c r="EJ12" s="39"/>
      <c r="EK12" s="39"/>
      <c r="EL12" s="39"/>
      <c r="EM12" s="39"/>
      <c r="EN12" s="39"/>
      <c r="EO12" s="39"/>
    </row>
    <row r="13" spans="1:145" ht="12.95" customHeight="1">
      <c r="A13" s="40"/>
      <c r="B13" s="46" t="s">
        <v>185</v>
      </c>
      <c r="C13" s="44"/>
      <c r="D13" s="44"/>
      <c r="E13" s="44"/>
      <c r="F13" s="44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>
        <f t="shared" ref="AQ13" si="22">+AQ12+AQ11</f>
        <v>14659</v>
      </c>
      <c r="AR13" s="43">
        <f>+AR12+AR11</f>
        <v>15215</v>
      </c>
      <c r="AS13" s="43">
        <f t="shared" ref="AS13:AU13" si="23">+AS12+AS11</f>
        <v>14680</v>
      </c>
      <c r="AT13" s="43">
        <f t="shared" si="23"/>
        <v>15102</v>
      </c>
      <c r="AU13" s="43">
        <f t="shared" si="23"/>
        <v>15393</v>
      </c>
      <c r="AV13" s="43">
        <f t="shared" ref="AV13:BE13" si="24">+AV12+AV11</f>
        <v>14909</v>
      </c>
      <c r="AW13" s="43">
        <f t="shared" si="24"/>
        <v>14484</v>
      </c>
      <c r="AX13" s="43">
        <f t="shared" si="24"/>
        <v>14907</v>
      </c>
      <c r="AY13" s="43">
        <f t="shared" si="24"/>
        <v>15914</v>
      </c>
      <c r="AZ13" s="43">
        <f t="shared" si="24"/>
        <v>13606</v>
      </c>
      <c r="BA13" s="43">
        <f t="shared" si="24"/>
        <v>13403</v>
      </c>
      <c r="BB13" s="43">
        <f t="shared" si="24"/>
        <v>13627</v>
      </c>
      <c r="BC13" s="43">
        <f t="shared" si="24"/>
        <v>14866</v>
      </c>
      <c r="BD13" s="43">
        <f t="shared" si="24"/>
        <v>13157</v>
      </c>
      <c r="BE13" s="43">
        <f t="shared" si="24"/>
        <v>14010</v>
      </c>
      <c r="BF13" s="43">
        <f t="shared" ref="BF13:BK13" si="25">+BF12+BF11</f>
        <v>13973</v>
      </c>
      <c r="BG13" s="43">
        <f t="shared" si="25"/>
        <v>14962</v>
      </c>
      <c r="BH13" s="43">
        <f t="shared" si="25"/>
        <v>12343</v>
      </c>
      <c r="BI13" s="43">
        <f t="shared" si="25"/>
        <v>12961</v>
      </c>
      <c r="BJ13" s="43">
        <f t="shared" si="25"/>
        <v>12686</v>
      </c>
      <c r="BK13" s="43">
        <f t="shared" si="25"/>
        <v>13409</v>
      </c>
      <c r="BL13" s="43">
        <f t="shared" ref="BL13:BN13" si="26">+BL12+BL11</f>
        <v>11288</v>
      </c>
      <c r="BM13" s="43">
        <f t="shared" si="26"/>
        <v>11345</v>
      </c>
      <c r="BN13" s="43">
        <f t="shared" si="26"/>
        <v>11980</v>
      </c>
      <c r="BO13" s="43">
        <f>+BO11+BO12</f>
        <v>14365</v>
      </c>
      <c r="BP13" s="43">
        <f>+BP11+BP12</f>
        <v>12612</v>
      </c>
      <c r="BQ13" s="43">
        <f>+BQ11+BQ12</f>
        <v>12509</v>
      </c>
      <c r="BR13" s="43">
        <f>+BR11+BR12</f>
        <v>15887</v>
      </c>
      <c r="BS13" s="43">
        <f t="shared" ref="BS13:BV13" si="27">+BO13*1.01</f>
        <v>14508.65</v>
      </c>
      <c r="BT13" s="43">
        <f t="shared" si="27"/>
        <v>12738.12</v>
      </c>
      <c r="BU13" s="43">
        <f t="shared" si="27"/>
        <v>12634.09</v>
      </c>
      <c r="BV13" s="43">
        <f t="shared" si="27"/>
        <v>16045.87</v>
      </c>
      <c r="BW13" s="42"/>
      <c r="BX13" s="41"/>
      <c r="BY13" s="41"/>
      <c r="BZ13" s="41"/>
      <c r="CA13" s="41"/>
      <c r="CB13" s="41"/>
      <c r="CC13" s="41"/>
      <c r="CD13" s="41"/>
      <c r="CE13" s="41"/>
      <c r="CF13" s="41"/>
      <c r="CG13" s="41"/>
      <c r="CH13" s="43"/>
      <c r="CI13" s="43"/>
      <c r="CJ13" s="43"/>
      <c r="CK13" s="41"/>
      <c r="CL13" s="41"/>
      <c r="CM13" s="41"/>
      <c r="CN13" s="41"/>
      <c r="CO13" s="41"/>
      <c r="CP13" s="39"/>
      <c r="CQ13" s="45"/>
      <c r="CR13" s="45"/>
      <c r="CS13" s="45"/>
      <c r="CT13" s="45">
        <f>CT12+CT11</f>
        <v>56550</v>
      </c>
      <c r="CU13" s="45">
        <f>CU12+CU11</f>
        <v>56006</v>
      </c>
      <c r="CV13" s="45">
        <f>CV12+CV11</f>
        <v>52952</v>
      </c>
      <c r="CW13" s="45">
        <f>CW12+CW11</f>
        <v>48022</v>
      </c>
      <c r="CX13" s="45">
        <f>CX12+CX11</f>
        <v>55373</v>
      </c>
      <c r="CY13" s="45">
        <f t="shared" si="2"/>
        <v>55926.73</v>
      </c>
      <c r="CZ13" s="45">
        <f>+CY13*0.95</f>
        <v>53130.393499999998</v>
      </c>
      <c r="DA13" s="45">
        <f t="shared" ref="DA13:DI13" si="28">+CZ13*0.95</f>
        <v>50473.873824999995</v>
      </c>
      <c r="DB13" s="45">
        <f t="shared" si="28"/>
        <v>47950.180133749993</v>
      </c>
      <c r="DC13" s="45">
        <f t="shared" si="28"/>
        <v>45552.671127062495</v>
      </c>
      <c r="DD13" s="45">
        <f t="shared" si="28"/>
        <v>43275.03757070937</v>
      </c>
      <c r="DE13" s="45">
        <f t="shared" si="28"/>
        <v>41111.2856921739</v>
      </c>
      <c r="DF13" s="45">
        <f t="shared" si="28"/>
        <v>39055.721407565201</v>
      </c>
      <c r="DG13" s="45">
        <f t="shared" si="28"/>
        <v>37102.935337186937</v>
      </c>
      <c r="DH13" s="45">
        <f t="shared" si="28"/>
        <v>35247.78857032759</v>
      </c>
      <c r="DI13" s="45">
        <f t="shared" si="28"/>
        <v>33485.399141811205</v>
      </c>
      <c r="DJ13" s="39"/>
      <c r="DK13" s="39"/>
      <c r="DL13" s="39"/>
      <c r="DM13" s="39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</row>
    <row r="14" spans="1:145" ht="12.95" customHeight="1">
      <c r="A14" s="40"/>
      <c r="B14" s="46"/>
      <c r="C14" s="44"/>
      <c r="D14" s="44"/>
      <c r="E14" s="44"/>
      <c r="F14" s="44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/>
      <c r="AR14" s="43"/>
      <c r="AS14" s="43"/>
      <c r="AT14" s="43"/>
      <c r="AU14" s="43"/>
      <c r="AV14" s="43"/>
      <c r="AW14" s="43"/>
      <c r="AX14" s="43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3"/>
      <c r="BU14" s="43"/>
      <c r="BV14" s="43"/>
      <c r="BW14" s="42"/>
      <c r="BX14" s="41"/>
      <c r="BY14" s="41"/>
      <c r="BZ14" s="41"/>
      <c r="CA14" s="41"/>
      <c r="CB14" s="41"/>
      <c r="CC14" s="41"/>
      <c r="CD14" s="41"/>
      <c r="CE14" s="41"/>
      <c r="CF14" s="41"/>
      <c r="CG14" s="41"/>
      <c r="CH14" s="43"/>
      <c r="CI14" s="43"/>
      <c r="CJ14" s="43"/>
      <c r="CK14" s="41"/>
      <c r="CL14" s="41"/>
      <c r="CM14" s="41"/>
      <c r="CN14" s="41"/>
      <c r="CO14" s="41"/>
      <c r="CP14" s="39"/>
      <c r="CQ14" s="45"/>
      <c r="CR14" s="45"/>
      <c r="CS14" s="45"/>
      <c r="CT14" s="45"/>
      <c r="CU14" s="45"/>
      <c r="CV14" s="45"/>
      <c r="CW14" s="45"/>
      <c r="CX14" s="45"/>
      <c r="CY14" s="45">
        <f t="shared" si="2"/>
        <v>0</v>
      </c>
      <c r="CZ14" s="45"/>
      <c r="DA14" s="45"/>
      <c r="DB14" s="45"/>
      <c r="DC14" s="45"/>
      <c r="DD14" s="45"/>
      <c r="DE14" s="39"/>
      <c r="DF14" s="39"/>
      <c r="DG14" s="39"/>
      <c r="DH14" s="39"/>
      <c r="DI14" s="39"/>
      <c r="DJ14" s="39"/>
      <c r="DK14" s="39"/>
      <c r="DL14" s="39"/>
      <c r="DM14" s="39"/>
      <c r="DN14" s="39"/>
      <c r="DO14" s="39"/>
      <c r="DP14" s="39"/>
      <c r="DQ14" s="39"/>
      <c r="DR14" s="39"/>
      <c r="DS14" s="39"/>
      <c r="DT14" s="39"/>
      <c r="DU14" s="39"/>
      <c r="DV14" s="39"/>
      <c r="DW14" s="39"/>
      <c r="DX14" s="39"/>
      <c r="DY14" s="39"/>
      <c r="DZ14" s="39"/>
      <c r="EA14" s="39"/>
      <c r="EB14" s="39"/>
      <c r="EC14" s="39"/>
      <c r="ED14" s="39"/>
      <c r="EE14" s="39"/>
      <c r="EF14" s="39"/>
      <c r="EG14" s="39"/>
      <c r="EH14" s="39"/>
      <c r="EI14" s="39"/>
      <c r="EJ14" s="39"/>
      <c r="EK14" s="39"/>
      <c r="EL14" s="39"/>
      <c r="EM14" s="39"/>
      <c r="EN14" s="39"/>
      <c r="EO14" s="39"/>
    </row>
    <row r="15" spans="1:145" ht="12.95" customHeight="1">
      <c r="A15" s="40"/>
      <c r="B15" s="46" t="s">
        <v>128</v>
      </c>
      <c r="C15" s="44"/>
      <c r="D15" s="44"/>
      <c r="E15" s="44"/>
      <c r="F15" s="44"/>
      <c r="G15" s="43"/>
      <c r="H15" s="43"/>
      <c r="I15" s="43">
        <v>28</v>
      </c>
      <c r="J15" s="43">
        <v>59</v>
      </c>
      <c r="K15" s="43">
        <v>370</v>
      </c>
      <c r="L15" s="43">
        <v>296</v>
      </c>
      <c r="M15" s="43">
        <v>700</v>
      </c>
      <c r="N15" s="43">
        <v>951</v>
      </c>
      <c r="O15" s="43">
        <v>1098</v>
      </c>
      <c r="P15" s="43"/>
      <c r="Q15" s="43"/>
      <c r="R15" s="43"/>
      <c r="S15" s="43"/>
      <c r="T15" s="43"/>
      <c r="U15" s="43"/>
      <c r="V15" s="43"/>
      <c r="W15" s="43">
        <v>2678</v>
      </c>
      <c r="X15" s="43">
        <v>2877</v>
      </c>
      <c r="Y15" s="43">
        <v>2847</v>
      </c>
      <c r="Z15" s="43">
        <v>3231</v>
      </c>
      <c r="AA15" s="43">
        <v>2916</v>
      </c>
      <c r="AB15" s="43">
        <f>5975-AA15</f>
        <v>3059</v>
      </c>
      <c r="AC15" s="43"/>
      <c r="AD15" s="43"/>
      <c r="AE15" s="43">
        <v>3957</v>
      </c>
      <c r="AF15" s="43">
        <v>4486</v>
      </c>
      <c r="AG15" s="43">
        <v>4680</v>
      </c>
      <c r="AH15" s="43">
        <v>4904</v>
      </c>
      <c r="AI15" s="43">
        <v>4591</v>
      </c>
      <c r="AJ15" s="43">
        <v>4952</v>
      </c>
      <c r="AK15" s="43">
        <v>5106</v>
      </c>
      <c r="AL15" s="43">
        <v>5397</v>
      </c>
      <c r="AM15" s="43"/>
      <c r="AN15" s="43"/>
      <c r="AO15" s="43"/>
      <c r="AP15" s="43"/>
      <c r="AQ15" s="43">
        <v>5989</v>
      </c>
      <c r="AR15" s="43">
        <v>5729</v>
      </c>
      <c r="AS15" s="43">
        <v>6115</v>
      </c>
      <c r="AT15" s="43">
        <v>6500</v>
      </c>
      <c r="AU15" s="43">
        <v>5722</v>
      </c>
      <c r="AV15" s="43">
        <v>5415</v>
      </c>
      <c r="AW15" s="43">
        <v>5370</v>
      </c>
      <c r="AX15" s="43">
        <v>5427</v>
      </c>
      <c r="AY15" s="43">
        <v>4991</v>
      </c>
      <c r="AZ15" s="43">
        <v>4234</v>
      </c>
      <c r="BA15" s="43">
        <v>4765</v>
      </c>
      <c r="BB15" s="43">
        <v>4757</v>
      </c>
      <c r="BC15" s="43">
        <v>3909</v>
      </c>
      <c r="BD15" s="43">
        <v>3697</v>
      </c>
      <c r="BE15" s="43">
        <v>3615</v>
      </c>
      <c r="BF15" s="43">
        <v>3833</v>
      </c>
      <c r="BG15" s="43">
        <v>3322</v>
      </c>
      <c r="BH15" s="43">
        <v>2710</v>
      </c>
      <c r="BI15" s="43">
        <v>2967</v>
      </c>
      <c r="BJ15" s="43">
        <v>3323</v>
      </c>
      <c r="BK15" s="43">
        <v>2815</v>
      </c>
      <c r="BL15" s="43">
        <v>1836</v>
      </c>
      <c r="BM15" s="43">
        <v>2227</v>
      </c>
      <c r="BN15" s="43">
        <v>1786</v>
      </c>
      <c r="BO15" s="43">
        <v>2159</v>
      </c>
      <c r="BP15" s="43">
        <v>2242</v>
      </c>
      <c r="BQ15" s="43">
        <v>-322</v>
      </c>
      <c r="BR15" s="43">
        <v>1403</v>
      </c>
      <c r="BS15" s="43">
        <v>1158</v>
      </c>
      <c r="BT15" s="43">
        <f t="shared" ref="BT15:BV15" si="29">+BP15*0.5</f>
        <v>1121</v>
      </c>
      <c r="BU15" s="43">
        <f t="shared" si="29"/>
        <v>-161</v>
      </c>
      <c r="BV15" s="43">
        <f t="shared" si="29"/>
        <v>701.5</v>
      </c>
      <c r="BW15" s="42"/>
      <c r="BX15" s="41"/>
      <c r="BY15" s="41"/>
      <c r="BZ15" s="41"/>
      <c r="CA15" s="41"/>
      <c r="CB15" s="41"/>
      <c r="CC15" s="41"/>
      <c r="CD15" s="41"/>
      <c r="CE15" s="41"/>
      <c r="CF15" s="41"/>
      <c r="CG15" s="41"/>
      <c r="CH15" s="43">
        <v>0</v>
      </c>
      <c r="CI15" s="43">
        <f>SUM(G15:J15)</f>
        <v>87</v>
      </c>
      <c r="CJ15" s="43">
        <f>SUM(K15:N15)</f>
        <v>2317</v>
      </c>
      <c r="CK15" s="43">
        <v>5991</v>
      </c>
      <c r="CL15" s="43">
        <v>9495</v>
      </c>
      <c r="CM15" s="41"/>
      <c r="CN15" s="41"/>
      <c r="CO15" s="41"/>
      <c r="CP15" s="39"/>
      <c r="CQ15" s="45"/>
      <c r="CR15" s="45"/>
      <c r="CS15" s="45"/>
      <c r="CT15" s="45">
        <f t="shared" ref="CT15:CT21" si="30">SUM(AY15:BB15)</f>
        <v>18747</v>
      </c>
      <c r="CU15" s="45">
        <f t="shared" ref="CU15:CU21" si="31">SUM(BC15:BF15)</f>
        <v>15054</v>
      </c>
      <c r="CV15" s="45">
        <f t="shared" ref="CV15:CV21" si="32">SUM(BG15:BJ15)</f>
        <v>12322</v>
      </c>
      <c r="CW15" s="45">
        <f t="shared" ref="CW15:CW21" si="33">SUM(BK15:BN15)</f>
        <v>8664</v>
      </c>
      <c r="CX15" s="45">
        <f t="shared" ref="CX15:CX31" si="34">SUM(BO15:BR15)</f>
        <v>5482</v>
      </c>
      <c r="CY15" s="45">
        <f t="shared" si="2"/>
        <v>2819.5</v>
      </c>
      <c r="CZ15" s="45">
        <f>+CY15*0.8</f>
        <v>2255.6</v>
      </c>
      <c r="DA15" s="45">
        <f t="shared" ref="DA15:DI15" si="35">+CZ15*0.8</f>
        <v>1804.48</v>
      </c>
      <c r="DB15" s="45">
        <f t="shared" si="35"/>
        <v>1443.5840000000001</v>
      </c>
      <c r="DC15" s="45">
        <f t="shared" si="35"/>
        <v>1154.8672000000001</v>
      </c>
      <c r="DD15" s="45">
        <f t="shared" si="35"/>
        <v>923.89376000000016</v>
      </c>
      <c r="DE15" s="45">
        <f t="shared" si="35"/>
        <v>739.11500800000022</v>
      </c>
      <c r="DF15" s="45">
        <f t="shared" si="35"/>
        <v>591.29200640000022</v>
      </c>
      <c r="DG15" s="45">
        <f t="shared" si="35"/>
        <v>473.03360512000017</v>
      </c>
      <c r="DH15" s="45">
        <f t="shared" si="35"/>
        <v>378.42688409600015</v>
      </c>
      <c r="DI15" s="45">
        <f t="shared" si="35"/>
        <v>302.74150727680012</v>
      </c>
      <c r="DJ15" s="39"/>
      <c r="DK15" s="39"/>
      <c r="DL15" s="39"/>
      <c r="DM15" s="39"/>
      <c r="DN15" s="39"/>
      <c r="DO15" s="39"/>
      <c r="DP15" s="39"/>
      <c r="DQ15" s="39"/>
      <c r="DR15" s="39"/>
      <c r="DS15" s="39"/>
      <c r="DT15" s="39"/>
      <c r="DU15" s="39"/>
      <c r="DV15" s="39"/>
      <c r="DW15" s="39"/>
      <c r="DX15" s="39"/>
      <c r="DY15" s="39"/>
      <c r="DZ15" s="39"/>
      <c r="EA15" s="39"/>
      <c r="EB15" s="39"/>
      <c r="EC15" s="39"/>
      <c r="ED15" s="39"/>
      <c r="EE15" s="39"/>
      <c r="EF15" s="39"/>
      <c r="EG15" s="39"/>
      <c r="EH15" s="39"/>
      <c r="EI15" s="39"/>
      <c r="EJ15" s="39"/>
      <c r="EK15" s="39"/>
      <c r="EL15" s="39"/>
      <c r="EM15" s="39"/>
      <c r="EN15" s="39"/>
      <c r="EO15" s="39"/>
    </row>
    <row r="16" spans="1:145" ht="12.95" customHeight="1">
      <c r="A16" s="40"/>
      <c r="B16" s="46" t="s">
        <v>172</v>
      </c>
      <c r="C16" s="44"/>
      <c r="D16" s="44"/>
      <c r="E16" s="44"/>
      <c r="F16" s="44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>
        <v>0</v>
      </c>
      <c r="AR16" s="43">
        <v>0</v>
      </c>
      <c r="AS16" s="43">
        <v>0</v>
      </c>
      <c r="AT16" s="43">
        <v>0</v>
      </c>
      <c r="AU16" s="43">
        <v>0</v>
      </c>
      <c r="AV16" s="43">
        <v>0</v>
      </c>
      <c r="AW16" s="43">
        <v>0</v>
      </c>
      <c r="AX16" s="43">
        <v>50</v>
      </c>
      <c r="AY16" s="43">
        <v>229</v>
      </c>
      <c r="AZ16" s="43">
        <v>355</v>
      </c>
      <c r="BA16" s="43">
        <v>454</v>
      </c>
      <c r="BB16" s="43">
        <v>835</v>
      </c>
      <c r="BC16" s="43">
        <v>729</v>
      </c>
      <c r="BD16" s="43">
        <v>945</v>
      </c>
      <c r="BE16" s="43">
        <v>1341</v>
      </c>
      <c r="BF16" s="43">
        <v>1823</v>
      </c>
      <c r="BG16" s="43">
        <v>2063</v>
      </c>
      <c r="BH16" s="43">
        <v>2172</v>
      </c>
      <c r="BI16" s="43">
        <v>3011</v>
      </c>
      <c r="BJ16" s="43">
        <v>4053</v>
      </c>
      <c r="BK16" s="43">
        <v>4356</v>
      </c>
      <c r="BL16" s="43">
        <v>3988</v>
      </c>
      <c r="BM16" s="43">
        <v>4496</v>
      </c>
      <c r="BN16" s="43">
        <v>5910</v>
      </c>
      <c r="BO16" s="43">
        <v>5013</v>
      </c>
      <c r="BP16" s="43">
        <v>5918</v>
      </c>
      <c r="BQ16" s="43">
        <v>5453</v>
      </c>
      <c r="BR16" s="43">
        <v>6917</v>
      </c>
      <c r="BS16" s="43">
        <v>5695</v>
      </c>
      <c r="BT16" s="43">
        <f t="shared" ref="BT16:BV16" si="36">+BP16*1.2</f>
        <v>7101.5999999999995</v>
      </c>
      <c r="BU16" s="43">
        <f t="shared" si="36"/>
        <v>6543.5999999999995</v>
      </c>
      <c r="BV16" s="43">
        <f t="shared" si="36"/>
        <v>8300.4</v>
      </c>
      <c r="BW16" s="42"/>
      <c r="BX16" s="41"/>
      <c r="BY16" s="41"/>
      <c r="BZ16" s="41"/>
      <c r="CA16" s="41"/>
      <c r="CB16" s="41"/>
      <c r="CC16" s="41"/>
      <c r="CD16" s="41"/>
      <c r="CE16" s="41"/>
      <c r="CF16" s="41"/>
      <c r="CG16" s="41"/>
      <c r="CH16" s="43"/>
      <c r="CI16" s="43"/>
      <c r="CJ16" s="43"/>
      <c r="CK16" s="41"/>
      <c r="CL16" s="41"/>
      <c r="CM16" s="41"/>
      <c r="CN16" s="41"/>
      <c r="CO16" s="41"/>
      <c r="CP16" s="39"/>
      <c r="CQ16" s="45"/>
      <c r="CR16" s="45"/>
      <c r="CS16" s="45"/>
      <c r="CT16" s="45">
        <f t="shared" si="30"/>
        <v>1873</v>
      </c>
      <c r="CU16" s="45">
        <f t="shared" si="31"/>
        <v>4838</v>
      </c>
      <c r="CV16" s="45">
        <f t="shared" si="32"/>
        <v>11299</v>
      </c>
      <c r="CW16" s="45">
        <f t="shared" si="33"/>
        <v>18750</v>
      </c>
      <c r="CX16" s="45">
        <f t="shared" si="34"/>
        <v>23301</v>
      </c>
      <c r="CY16" s="45">
        <f>SUM(BS16:BV16)</f>
        <v>27640.6</v>
      </c>
      <c r="CZ16" s="45">
        <f>+CY16*1.3</f>
        <v>35932.78</v>
      </c>
      <c r="DA16" s="45">
        <f>+CZ16*1.3</f>
        <v>46712.614000000001</v>
      </c>
      <c r="DB16" s="45">
        <f>+DA16*1.2</f>
        <v>56055.1368</v>
      </c>
      <c r="DC16" s="45">
        <f>+DB16*1.1</f>
        <v>61660.650480000004</v>
      </c>
      <c r="DD16" s="45">
        <f>+DC16*1.1</f>
        <v>67826.715528000015</v>
      </c>
      <c r="DE16" s="45">
        <f t="shared" ref="DE16:DI17" si="37">+DD16*0.7</f>
        <v>47478.700869600005</v>
      </c>
      <c r="DF16" s="45">
        <f t="shared" si="37"/>
        <v>33235.090608719998</v>
      </c>
      <c r="DG16" s="45">
        <f t="shared" si="37"/>
        <v>23264.563426103996</v>
      </c>
      <c r="DH16" s="45">
        <f t="shared" si="37"/>
        <v>16285.194398272795</v>
      </c>
      <c r="DI16" s="45">
        <f t="shared" si="37"/>
        <v>11399.636078790956</v>
      </c>
      <c r="DJ16" s="39"/>
      <c r="DK16" s="39"/>
      <c r="DL16" s="39"/>
      <c r="DM16" s="39"/>
      <c r="DN16" s="39"/>
      <c r="DO16" s="39"/>
      <c r="DP16" s="39"/>
      <c r="DQ16" s="39"/>
      <c r="DR16" s="39"/>
      <c r="DS16" s="39"/>
      <c r="DT16" s="39"/>
      <c r="DU16" s="39"/>
      <c r="DV16" s="39"/>
      <c r="DW16" s="39"/>
      <c r="DX16" s="39"/>
      <c r="DY16" s="39"/>
      <c r="DZ16" s="39"/>
      <c r="EA16" s="39"/>
      <c r="EB16" s="39"/>
      <c r="EC16" s="39"/>
      <c r="ED16" s="39"/>
      <c r="EE16" s="39"/>
      <c r="EF16" s="39"/>
      <c r="EG16" s="39"/>
      <c r="EH16" s="39"/>
      <c r="EI16" s="39"/>
      <c r="EJ16" s="39"/>
      <c r="EK16" s="39"/>
      <c r="EL16" s="39"/>
      <c r="EM16" s="39"/>
      <c r="EN16" s="39"/>
      <c r="EO16" s="39"/>
    </row>
    <row r="17" spans="1:145" ht="12.95" customHeight="1">
      <c r="A17" s="40"/>
      <c r="B17" s="46" t="s">
        <v>173</v>
      </c>
      <c r="C17" s="44"/>
      <c r="D17" s="44"/>
      <c r="E17" s="44"/>
      <c r="F17" s="44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P17" s="43"/>
      <c r="AQ17" s="43">
        <v>69</v>
      </c>
      <c r="AR17" s="43">
        <f>264-AQ17</f>
        <v>195</v>
      </c>
      <c r="AS17" s="43">
        <v>540</v>
      </c>
      <c r="AT17" s="43">
        <v>992</v>
      </c>
      <c r="AU17" s="43">
        <v>1425</v>
      </c>
      <c r="AV17" s="43">
        <v>2325</v>
      </c>
      <c r="AW17" s="43">
        <v>3122</v>
      </c>
      <c r="AX17" s="43">
        <v>4365</v>
      </c>
      <c r="AY17" s="43">
        <v>4755</v>
      </c>
      <c r="AZ17" s="43">
        <v>4836</v>
      </c>
      <c r="BA17" s="43">
        <v>5432</v>
      </c>
      <c r="BB17" s="43">
        <v>6188</v>
      </c>
      <c r="BC17" s="43">
        <v>6662</v>
      </c>
      <c r="BD17" s="43">
        <v>7435</v>
      </c>
      <c r="BE17" s="43">
        <v>8892</v>
      </c>
      <c r="BF17" s="43">
        <v>10716</v>
      </c>
      <c r="BG17" s="43">
        <v>12035</v>
      </c>
      <c r="BH17" s="43">
        <v>14349</v>
      </c>
      <c r="BI17" s="43">
        <v>16390</v>
      </c>
      <c r="BJ17" s="43">
        <v>16976</v>
      </c>
      <c r="BK17" s="43">
        <v>19640</v>
      </c>
      <c r="BL17" s="43">
        <v>22101</v>
      </c>
      <c r="BM17" s="43">
        <v>23912</v>
      </c>
      <c r="BN17" s="43">
        <v>30065</v>
      </c>
      <c r="BO17" s="43">
        <v>27810</v>
      </c>
      <c r="BP17" s="43">
        <v>28875</v>
      </c>
      <c r="BQ17" s="43">
        <v>29804</v>
      </c>
      <c r="BR17" s="43">
        <v>33853</v>
      </c>
      <c r="BS17" s="43">
        <v>32721</v>
      </c>
      <c r="BT17" s="43">
        <f t="shared" ref="BT17:BV17" si="38">+BP17*1.3</f>
        <v>37537.5</v>
      </c>
      <c r="BU17" s="43">
        <f t="shared" si="38"/>
        <v>38745.200000000004</v>
      </c>
      <c r="BV17" s="43">
        <f t="shared" si="38"/>
        <v>44008.9</v>
      </c>
      <c r="BW17" s="42"/>
      <c r="BX17" s="41"/>
      <c r="BY17" s="41"/>
      <c r="BZ17" s="41"/>
      <c r="CA17" s="41"/>
      <c r="CB17" s="41"/>
      <c r="CC17" s="41"/>
      <c r="CD17" s="41"/>
      <c r="CE17" s="41"/>
      <c r="CF17" s="41"/>
      <c r="CG17" s="41"/>
      <c r="CH17" s="43"/>
      <c r="CI17" s="43"/>
      <c r="CJ17" s="43"/>
      <c r="CK17" s="41"/>
      <c r="CL17" s="41"/>
      <c r="CM17" s="41"/>
      <c r="CN17" s="41"/>
      <c r="CO17" s="41"/>
      <c r="CP17" s="39"/>
      <c r="CQ17" s="45"/>
      <c r="CR17" s="45"/>
      <c r="CS17" s="45"/>
      <c r="CT17" s="45">
        <f t="shared" si="30"/>
        <v>21211</v>
      </c>
      <c r="CU17" s="45">
        <f t="shared" si="31"/>
        <v>33705</v>
      </c>
      <c r="CV17" s="45">
        <f t="shared" si="32"/>
        <v>59750</v>
      </c>
      <c r="CW17" s="45">
        <f t="shared" si="33"/>
        <v>95718</v>
      </c>
      <c r="CX17" s="45">
        <f t="shared" si="34"/>
        <v>120342</v>
      </c>
      <c r="CY17" s="45">
        <f>SUM(BS17:BV17)</f>
        <v>153012.6</v>
      </c>
      <c r="CZ17" s="45">
        <f>+CY17*1.3</f>
        <v>198916.38</v>
      </c>
      <c r="DA17" s="45">
        <f>+CZ17*1.25</f>
        <v>248645.47500000001</v>
      </c>
      <c r="DB17" s="45">
        <f>+DA17*1.15</f>
        <v>285942.29624999996</v>
      </c>
      <c r="DC17" s="45">
        <f>+DB17*1.1</f>
        <v>314536.52587499999</v>
      </c>
      <c r="DD17" s="45">
        <f>+DC17*1.1</f>
        <v>345990.17846250004</v>
      </c>
      <c r="DE17" s="45">
        <f t="shared" si="37"/>
        <v>242193.12492375</v>
      </c>
      <c r="DF17" s="45">
        <f t="shared" si="37"/>
        <v>169535.187446625</v>
      </c>
      <c r="DG17" s="45">
        <f t="shared" si="37"/>
        <v>118674.6312126375</v>
      </c>
      <c r="DH17" s="45">
        <f t="shared" si="37"/>
        <v>83072.241848846243</v>
      </c>
      <c r="DI17" s="45">
        <f t="shared" si="37"/>
        <v>58150.569294192363</v>
      </c>
      <c r="DJ17" s="39"/>
      <c r="DK17" s="39"/>
      <c r="DL17" s="39"/>
      <c r="DM17" s="39"/>
      <c r="DN17" s="39"/>
      <c r="DO17" s="39"/>
      <c r="DP17" s="39"/>
      <c r="DQ17" s="39"/>
      <c r="DR17" s="39"/>
      <c r="DS17" s="39"/>
      <c r="DT17" s="39"/>
      <c r="DU17" s="39"/>
      <c r="DV17" s="39"/>
      <c r="DW17" s="39"/>
      <c r="DX17" s="39"/>
      <c r="DY17" s="39"/>
      <c r="DZ17" s="39"/>
      <c r="EA17" s="39"/>
      <c r="EB17" s="39"/>
      <c r="EC17" s="39"/>
      <c r="ED17" s="39"/>
      <c r="EE17" s="39"/>
      <c r="EF17" s="39"/>
      <c r="EG17" s="39"/>
      <c r="EH17" s="39"/>
      <c r="EI17" s="39"/>
      <c r="EJ17" s="39"/>
      <c r="EK17" s="39"/>
      <c r="EL17" s="39"/>
      <c r="EM17" s="39"/>
      <c r="EN17" s="39"/>
      <c r="EO17" s="39"/>
    </row>
    <row r="18" spans="1:145" ht="12.95" customHeight="1">
      <c r="A18" s="40"/>
      <c r="B18" s="46" t="s">
        <v>576</v>
      </c>
      <c r="C18" s="44"/>
      <c r="D18" s="44"/>
      <c r="E18" s="44"/>
      <c r="F18" s="44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43"/>
      <c r="AQ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3"/>
      <c r="BU18" s="43"/>
      <c r="BV18" s="43"/>
      <c r="BW18" s="42"/>
      <c r="BX18" s="41"/>
      <c r="BY18" s="41"/>
      <c r="BZ18" s="41"/>
      <c r="CA18" s="41"/>
      <c r="CB18" s="41"/>
      <c r="CC18" s="41"/>
      <c r="CD18" s="41"/>
      <c r="CE18" s="41"/>
      <c r="CF18" s="41"/>
      <c r="CG18" s="41"/>
      <c r="CH18" s="43"/>
      <c r="CI18" s="43"/>
      <c r="CJ18" s="43"/>
      <c r="CK18" s="41"/>
      <c r="CL18" s="41"/>
      <c r="CM18" s="41"/>
      <c r="CN18" s="41"/>
      <c r="CO18" s="41"/>
      <c r="CP18" s="39"/>
      <c r="CQ18" s="45"/>
      <c r="CR18" s="45"/>
      <c r="CS18" s="45"/>
      <c r="CT18" s="45"/>
      <c r="CU18" s="45"/>
      <c r="CV18" s="45"/>
      <c r="CW18" s="45"/>
      <c r="CX18" s="45"/>
      <c r="CY18" s="56" t="s">
        <v>607</v>
      </c>
      <c r="CZ18" s="56" t="s">
        <v>608</v>
      </c>
      <c r="DA18" s="56" t="s">
        <v>608</v>
      </c>
      <c r="DB18" s="56" t="s">
        <v>609</v>
      </c>
      <c r="DC18" s="45">
        <v>20000</v>
      </c>
      <c r="DD18" s="45">
        <f>+DC18*2</f>
        <v>40000</v>
      </c>
      <c r="DE18" s="45">
        <f>+DD18*2</f>
        <v>80000</v>
      </c>
      <c r="DF18" s="45">
        <f>+DE18*1.4</f>
        <v>112000</v>
      </c>
      <c r="DG18" s="45">
        <f>+DF18*1.3</f>
        <v>145600</v>
      </c>
      <c r="DH18" s="45">
        <f>+DG18*1.2</f>
        <v>174720</v>
      </c>
      <c r="DI18" s="45">
        <f>+DH18*1.1</f>
        <v>192192.00000000003</v>
      </c>
      <c r="DJ18" s="39"/>
      <c r="DK18" s="39"/>
      <c r="DL18" s="39"/>
      <c r="DM18" s="39"/>
      <c r="DN18" s="39"/>
      <c r="DO18" s="39"/>
      <c r="DP18" s="39"/>
      <c r="DQ18" s="39"/>
      <c r="DR18" s="39"/>
      <c r="DS18" s="39"/>
      <c r="DT18" s="39"/>
      <c r="DU18" s="39"/>
      <c r="DV18" s="39"/>
      <c r="DW18" s="39"/>
      <c r="DX18" s="39"/>
      <c r="DY18" s="39"/>
      <c r="DZ18" s="39"/>
      <c r="EA18" s="39"/>
      <c r="EB18" s="39"/>
      <c r="EC18" s="39"/>
      <c r="ED18" s="39"/>
      <c r="EE18" s="39"/>
      <c r="EF18" s="39"/>
      <c r="EG18" s="39"/>
      <c r="EH18" s="39"/>
      <c r="EI18" s="39"/>
      <c r="EJ18" s="39"/>
      <c r="EK18" s="39"/>
      <c r="EL18" s="39"/>
      <c r="EM18" s="39"/>
      <c r="EN18" s="39"/>
      <c r="EO18" s="39"/>
    </row>
    <row r="19" spans="1:145" ht="12.95" customHeight="1">
      <c r="A19" s="40"/>
      <c r="B19" s="46" t="s">
        <v>129</v>
      </c>
      <c r="C19" s="44">
        <v>443</v>
      </c>
      <c r="D19" s="44">
        <v>460</v>
      </c>
      <c r="E19" s="44">
        <v>464</v>
      </c>
      <c r="F19" s="44">
        <v>477</v>
      </c>
      <c r="G19" s="43">
        <v>484</v>
      </c>
      <c r="H19" s="43">
        <v>492</v>
      </c>
      <c r="I19" s="43">
        <v>519</v>
      </c>
      <c r="J19" s="43">
        <f>2064-I19-H19-G19</f>
        <v>569</v>
      </c>
      <c r="K19" s="43">
        <v>503</v>
      </c>
      <c r="L19" s="43">
        <v>583</v>
      </c>
      <c r="M19" s="43">
        <v>567</v>
      </c>
      <c r="N19" s="43">
        <v>561</v>
      </c>
      <c r="O19" s="43">
        <v>639</v>
      </c>
      <c r="P19" s="43"/>
      <c r="Q19" s="43"/>
      <c r="R19" s="43"/>
      <c r="S19" s="43"/>
      <c r="T19" s="43"/>
      <c r="U19" s="43"/>
      <c r="V19" s="43"/>
      <c r="W19" s="43">
        <v>597</v>
      </c>
      <c r="X19" s="43">
        <v>619</v>
      </c>
      <c r="Y19" s="43">
        <v>624</v>
      </c>
      <c r="Z19" s="43">
        <v>572</v>
      </c>
      <c r="AA19" s="43">
        <v>587</v>
      </c>
      <c r="AB19" s="43">
        <f>1166-AA19</f>
        <v>579</v>
      </c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43"/>
      <c r="BE19" s="43"/>
      <c r="BF19" s="43"/>
      <c r="BG19" s="43"/>
      <c r="BH19" s="43"/>
      <c r="BI19" s="43"/>
      <c r="BJ19" s="43"/>
      <c r="BK19" s="43"/>
      <c r="BL19" s="43"/>
      <c r="BM19" s="43"/>
      <c r="BN19" s="43"/>
      <c r="BO19" s="43"/>
      <c r="BP19" s="43"/>
      <c r="BQ19" s="43"/>
      <c r="BR19" s="43"/>
      <c r="BS19" s="43"/>
      <c r="BT19" s="43"/>
      <c r="BU19" s="43"/>
      <c r="BV19" s="43"/>
      <c r="BW19" s="42"/>
      <c r="BX19" s="41"/>
      <c r="BY19" s="41"/>
      <c r="BZ19" s="41"/>
      <c r="CA19" s="41"/>
      <c r="CB19" s="41"/>
      <c r="CC19" s="41"/>
      <c r="CD19" s="41"/>
      <c r="CE19" s="41"/>
      <c r="CF19" s="41"/>
      <c r="CG19" s="41"/>
      <c r="CH19" s="43">
        <f t="shared" si="17"/>
        <v>1844</v>
      </c>
      <c r="CI19" s="43">
        <f t="shared" ref="CI19:CI30" si="39">SUM(G19:J19)</f>
        <v>2064</v>
      </c>
      <c r="CJ19" s="43">
        <f>SUM(K19:N19)</f>
        <v>2214</v>
      </c>
      <c r="CK19" s="43">
        <v>2309</v>
      </c>
      <c r="CL19" s="43">
        <v>2511</v>
      </c>
      <c r="CM19" s="41"/>
      <c r="CN19" s="41"/>
      <c r="CO19" s="41"/>
      <c r="CP19" s="39"/>
      <c r="CQ19" s="45"/>
      <c r="CR19" s="45"/>
      <c r="CS19" s="45"/>
      <c r="CT19" s="45"/>
      <c r="CU19" s="45"/>
      <c r="CV19" s="45"/>
      <c r="CW19" s="45"/>
      <c r="CX19" s="45"/>
      <c r="CY19" s="45"/>
      <c r="CZ19" s="45"/>
      <c r="DA19" s="45"/>
      <c r="DB19" s="45"/>
      <c r="DC19" s="45"/>
      <c r="DD19" s="45"/>
      <c r="DE19" s="39"/>
      <c r="DF19" s="39"/>
      <c r="DG19" s="39"/>
      <c r="DH19" s="39"/>
      <c r="DI19" s="39"/>
      <c r="DJ19" s="39"/>
      <c r="DK19" s="39"/>
      <c r="DL19" s="39"/>
      <c r="DM19" s="39"/>
      <c r="DN19" s="39"/>
      <c r="DO19" s="39"/>
      <c r="DP19" s="39"/>
      <c r="DQ19" s="39"/>
      <c r="DR19" s="39"/>
      <c r="DS19" s="39"/>
      <c r="DT19" s="39"/>
      <c r="DU19" s="39"/>
      <c r="DV19" s="39"/>
      <c r="DW19" s="39"/>
      <c r="DX19" s="39"/>
      <c r="DY19" s="39"/>
      <c r="DZ19" s="39"/>
      <c r="EA19" s="39"/>
      <c r="EB19" s="39"/>
      <c r="EC19" s="39"/>
      <c r="ED19" s="39"/>
      <c r="EE19" s="39"/>
      <c r="EF19" s="39"/>
      <c r="EG19" s="39"/>
      <c r="EH19" s="39"/>
      <c r="EI19" s="39"/>
      <c r="EJ19" s="39"/>
      <c r="EK19" s="39"/>
      <c r="EL19" s="39"/>
      <c r="EM19" s="39"/>
      <c r="EN19" s="39"/>
      <c r="EO19" s="39"/>
    </row>
    <row r="20" spans="1:145" ht="12.95" customHeight="1">
      <c r="A20" s="40"/>
      <c r="B20" s="46" t="s">
        <v>177</v>
      </c>
      <c r="C20" s="44"/>
      <c r="D20" s="44"/>
      <c r="E20" s="44"/>
      <c r="F20" s="44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/>
      <c r="AR20" s="43"/>
      <c r="AS20" s="43"/>
      <c r="AT20" s="43"/>
      <c r="AU20" s="43"/>
      <c r="AV20" s="43"/>
      <c r="AW20" s="43"/>
      <c r="AX20" s="43"/>
      <c r="AY20" s="43"/>
      <c r="AZ20" s="43"/>
      <c r="BA20" s="43"/>
      <c r="BB20" s="43"/>
      <c r="BC20" s="43"/>
      <c r="BD20" s="43"/>
      <c r="BE20" s="43"/>
      <c r="BF20" s="43"/>
      <c r="BG20" s="43">
        <v>1404</v>
      </c>
      <c r="BH20" s="43">
        <v>1181</v>
      </c>
      <c r="BI20" s="43">
        <v>1157</v>
      </c>
      <c r="BJ20" s="43">
        <v>2446</v>
      </c>
      <c r="BK20" s="43">
        <v>4563</v>
      </c>
      <c r="BL20" s="43">
        <v>7518</v>
      </c>
      <c r="BM20" s="43">
        <v>9648</v>
      </c>
      <c r="BN20" s="43">
        <v>9614</v>
      </c>
      <c r="BO20" s="43">
        <v>9377</v>
      </c>
      <c r="BP20" s="43">
        <v>11659</v>
      </c>
      <c r="BQ20" s="43">
        <v>17304</v>
      </c>
      <c r="BR20" s="43">
        <v>19866</v>
      </c>
      <c r="BS20" s="43">
        <v>17360</v>
      </c>
      <c r="BT20" s="43">
        <f>BS20+500</f>
        <v>17860</v>
      </c>
      <c r="BU20" s="43">
        <f t="shared" ref="BU20:BV20" si="40">+BQ20*1.3</f>
        <v>22495.200000000001</v>
      </c>
      <c r="BV20" s="43">
        <f t="shared" si="40"/>
        <v>25825.8</v>
      </c>
      <c r="BW20" s="42"/>
      <c r="BX20" s="41"/>
      <c r="BY20" s="41"/>
      <c r="BZ20" s="41"/>
      <c r="CA20" s="41"/>
      <c r="CB20" s="41"/>
      <c r="CC20" s="41"/>
      <c r="CD20" s="41"/>
      <c r="CE20" s="41"/>
      <c r="CF20" s="41"/>
      <c r="CG20" s="41"/>
      <c r="CH20" s="43"/>
      <c r="CI20" s="43"/>
      <c r="CJ20" s="43"/>
      <c r="CK20" s="41"/>
      <c r="CL20" s="41"/>
      <c r="CM20" s="41"/>
      <c r="CN20" s="41"/>
      <c r="CO20" s="41"/>
      <c r="CP20" s="39"/>
      <c r="CQ20" s="45"/>
      <c r="CR20" s="45"/>
      <c r="CS20" s="45"/>
      <c r="CT20" s="45">
        <f t="shared" si="30"/>
        <v>0</v>
      </c>
      <c r="CU20" s="45">
        <f t="shared" si="31"/>
        <v>0</v>
      </c>
      <c r="CV20" s="45">
        <f t="shared" si="32"/>
        <v>6188</v>
      </c>
      <c r="CW20" s="45">
        <f t="shared" si="33"/>
        <v>31343</v>
      </c>
      <c r="CX20" s="45">
        <f t="shared" si="34"/>
        <v>58206</v>
      </c>
      <c r="CY20" s="45">
        <f>SUM(BS20:BV20)</f>
        <v>83541</v>
      </c>
      <c r="CZ20" s="45">
        <f>+CY20*1.3</f>
        <v>108603.3</v>
      </c>
      <c r="DA20" s="45">
        <f>+CZ20*1.3</f>
        <v>141184.29</v>
      </c>
      <c r="DB20" s="45">
        <f>+DA20*1.25</f>
        <v>176480.36250000002</v>
      </c>
      <c r="DC20" s="45">
        <f>+DB20*1.2</f>
        <v>211776.43500000003</v>
      </c>
      <c r="DD20" s="45">
        <f>+DC20*1.1</f>
        <v>232954.07850000006</v>
      </c>
      <c r="DE20" s="45">
        <f>+DD20*0.7</f>
        <v>163067.85495000004</v>
      </c>
      <c r="DF20" s="45">
        <f>+DE20*0.7</f>
        <v>114147.49846500003</v>
      </c>
      <c r="DG20" s="45">
        <f>+DF20*0.7</f>
        <v>79903.248925500011</v>
      </c>
      <c r="DH20" s="45">
        <f>+DG20*0.7</f>
        <v>55932.274247850008</v>
      </c>
      <c r="DI20" s="45">
        <f>+DH20*0.7</f>
        <v>39152.591973495</v>
      </c>
      <c r="DJ20" s="39"/>
      <c r="DK20" s="39"/>
      <c r="DL20" s="39"/>
      <c r="DM20" s="39"/>
      <c r="DN20" s="39"/>
      <c r="DO20" s="39"/>
      <c r="DP20" s="39"/>
      <c r="DQ20" s="39"/>
      <c r="DR20" s="39"/>
      <c r="DS20" s="39"/>
      <c r="DT20" s="39"/>
      <c r="DU20" s="39"/>
      <c r="DV20" s="39"/>
      <c r="DW20" s="39"/>
      <c r="DX20" s="39"/>
      <c r="DY20" s="39"/>
      <c r="DZ20" s="39"/>
      <c r="EA20" s="39"/>
      <c r="EB20" s="39"/>
      <c r="EC20" s="39"/>
      <c r="ED20" s="39"/>
      <c r="EE20" s="39"/>
      <c r="EF20" s="39"/>
      <c r="EG20" s="39"/>
      <c r="EH20" s="39"/>
      <c r="EI20" s="39"/>
      <c r="EJ20" s="39"/>
      <c r="EK20" s="39"/>
      <c r="EL20" s="39"/>
      <c r="EM20" s="39"/>
      <c r="EN20" s="39"/>
      <c r="EO20" s="39"/>
    </row>
    <row r="21" spans="1:145" ht="12.95" customHeight="1">
      <c r="A21" s="40"/>
      <c r="B21" s="46" t="s">
        <v>178</v>
      </c>
      <c r="C21" s="44"/>
      <c r="D21" s="44"/>
      <c r="E21" s="44"/>
      <c r="F21" s="44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>
        <v>770</v>
      </c>
      <c r="AR21" s="43">
        <v>883</v>
      </c>
      <c r="AS21" s="43">
        <v>987</v>
      </c>
      <c r="AT21" s="43">
        <v>1229</v>
      </c>
      <c r="AU21" s="43">
        <v>1211</v>
      </c>
      <c r="AV21" s="43">
        <v>1462</v>
      </c>
      <c r="AW21" s="43">
        <v>1442</v>
      </c>
      <c r="AX21" s="43">
        <v>1564</v>
      </c>
      <c r="AY21" s="43">
        <v>1577</v>
      </c>
      <c r="AZ21" s="43">
        <v>1308</v>
      </c>
      <c r="BA21" s="43">
        <v>1338</v>
      </c>
      <c r="BB21" s="43">
        <v>1385</v>
      </c>
      <c r="BC21" s="43">
        <v>1551</v>
      </c>
      <c r="BD21" s="43">
        <v>1992</v>
      </c>
      <c r="BE21" s="43">
        <v>2398</v>
      </c>
      <c r="BF21" s="43">
        <v>2459</v>
      </c>
      <c r="BG21" s="43">
        <v>1998</v>
      </c>
      <c r="BH21" s="43">
        <v>2462</v>
      </c>
      <c r="BI21" s="43">
        <v>3174</v>
      </c>
      <c r="BJ21" s="43">
        <v>3042</v>
      </c>
      <c r="BK21" s="43">
        <v>3279</v>
      </c>
      <c r="BL21" s="43">
        <v>2788</v>
      </c>
      <c r="BM21" s="43">
        <v>2607</v>
      </c>
      <c r="BN21" s="43">
        <v>1615</v>
      </c>
      <c r="BO21" s="43">
        <v>1658</v>
      </c>
      <c r="BP21" s="43">
        <v>2245</v>
      </c>
      <c r="BQ21" s="43">
        <v>1497</v>
      </c>
      <c r="BR21" s="43">
        <v>1540</v>
      </c>
      <c r="BS21" s="43">
        <v>1064</v>
      </c>
      <c r="BT21" s="43">
        <f t="shared" ref="BT21:BV21" si="41">+BP21*0.5</f>
        <v>1122.5</v>
      </c>
      <c r="BU21" s="43">
        <f t="shared" si="41"/>
        <v>748.5</v>
      </c>
      <c r="BV21" s="43">
        <f t="shared" si="41"/>
        <v>770</v>
      </c>
      <c r="BW21" s="42"/>
      <c r="BX21" s="41"/>
      <c r="BY21" s="41"/>
      <c r="BZ21" s="41"/>
      <c r="CA21" s="41"/>
      <c r="CB21" s="41"/>
      <c r="CC21" s="41"/>
      <c r="CD21" s="41"/>
      <c r="CE21" s="41"/>
      <c r="CF21" s="41"/>
      <c r="CG21" s="41"/>
      <c r="CH21" s="43"/>
      <c r="CI21" s="43"/>
      <c r="CJ21" s="43"/>
      <c r="CK21" s="41"/>
      <c r="CL21" s="41"/>
      <c r="CM21" s="41"/>
      <c r="CN21" s="41"/>
      <c r="CO21" s="41"/>
      <c r="CP21" s="39"/>
      <c r="CQ21" s="45"/>
      <c r="CR21" s="45"/>
      <c r="CS21" s="45"/>
      <c r="CT21" s="45">
        <f t="shared" si="30"/>
        <v>5608</v>
      </c>
      <c r="CU21" s="45">
        <f t="shared" si="31"/>
        <v>8400</v>
      </c>
      <c r="CV21" s="45">
        <f t="shared" si="32"/>
        <v>10676</v>
      </c>
      <c r="CW21" s="45">
        <f t="shared" si="33"/>
        <v>10289</v>
      </c>
      <c r="CX21" s="45">
        <f t="shared" si="34"/>
        <v>6940</v>
      </c>
      <c r="CY21" s="45">
        <f t="shared" si="2"/>
        <v>3705</v>
      </c>
      <c r="CZ21" s="45">
        <f>+CY21*0.8</f>
        <v>2964</v>
      </c>
      <c r="DA21" s="45">
        <f t="shared" ref="DA21:DI21" si="42">+CZ21*0.8</f>
        <v>2371.2000000000003</v>
      </c>
      <c r="DB21" s="45">
        <f t="shared" si="42"/>
        <v>1896.9600000000003</v>
      </c>
      <c r="DC21" s="45">
        <f t="shared" si="42"/>
        <v>1517.5680000000002</v>
      </c>
      <c r="DD21" s="45">
        <f t="shared" si="42"/>
        <v>1214.0544000000002</v>
      </c>
      <c r="DE21" s="45">
        <f t="shared" si="42"/>
        <v>971.24352000000022</v>
      </c>
      <c r="DF21" s="45">
        <f t="shared" si="42"/>
        <v>776.99481600000024</v>
      </c>
      <c r="DG21" s="45">
        <f t="shared" si="42"/>
        <v>621.59585280000022</v>
      </c>
      <c r="DH21" s="45">
        <f t="shared" si="42"/>
        <v>497.27668224000018</v>
      </c>
      <c r="DI21" s="45">
        <f t="shared" si="42"/>
        <v>397.82134579200016</v>
      </c>
      <c r="DJ21" s="39"/>
      <c r="DK21" s="39"/>
      <c r="DL21" s="39"/>
      <c r="DM21" s="39"/>
      <c r="DN21" s="39"/>
      <c r="DO21" s="39"/>
      <c r="DP21" s="39"/>
      <c r="DQ21" s="39"/>
      <c r="DR21" s="39"/>
      <c r="DS21" s="39"/>
      <c r="DT21" s="39"/>
      <c r="DU21" s="39"/>
      <c r="DV21" s="39"/>
      <c r="DW21" s="39"/>
      <c r="DX21" s="39"/>
      <c r="DY21" s="39"/>
      <c r="DZ21" s="39"/>
      <c r="EA21" s="39"/>
      <c r="EB21" s="39"/>
      <c r="EC21" s="39"/>
      <c r="ED21" s="39"/>
      <c r="EE21" s="39"/>
      <c r="EF21" s="39"/>
      <c r="EG21" s="39"/>
      <c r="EH21" s="39"/>
      <c r="EI21" s="39"/>
      <c r="EJ21" s="39"/>
      <c r="EK21" s="39"/>
      <c r="EL21" s="39"/>
      <c r="EM21" s="39"/>
      <c r="EN21" s="39"/>
      <c r="EO21" s="39"/>
    </row>
    <row r="22" spans="1:145" ht="12.95" customHeight="1">
      <c r="A22" s="40"/>
      <c r="B22" s="46"/>
      <c r="C22" s="44"/>
      <c r="D22" s="44"/>
      <c r="E22" s="44"/>
      <c r="F22" s="44"/>
      <c r="G22" s="43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  <c r="AA22" s="43"/>
      <c r="AB22" s="43"/>
      <c r="AC22" s="43"/>
      <c r="AD22" s="43"/>
      <c r="AE22" s="43"/>
      <c r="AF22" s="43"/>
      <c r="AG22" s="43"/>
      <c r="AH22" s="43"/>
      <c r="AI22" s="43"/>
      <c r="AJ22" s="43"/>
      <c r="AK22" s="43"/>
      <c r="AL22" s="43"/>
      <c r="AM22" s="43"/>
      <c r="AN22" s="43"/>
      <c r="AO22" s="43"/>
      <c r="AP22" s="43"/>
      <c r="AQ22" s="43"/>
      <c r="AR22" s="43"/>
      <c r="AS22" s="43"/>
      <c r="AT22" s="43"/>
      <c r="AU22" s="43"/>
      <c r="AV22" s="43"/>
      <c r="AW22" s="43"/>
      <c r="AX22" s="43"/>
      <c r="AY22" s="43"/>
      <c r="AZ22" s="43"/>
      <c r="BA22" s="43"/>
      <c r="BB22" s="43"/>
      <c r="BC22" s="43"/>
      <c r="BD22" s="43"/>
      <c r="BE22" s="43"/>
      <c r="BF22" s="43"/>
      <c r="BG22" s="43"/>
      <c r="BH22" s="43"/>
      <c r="BI22" s="43"/>
      <c r="BJ22" s="43"/>
      <c r="BK22" s="43"/>
      <c r="BL22" s="43"/>
      <c r="BM22" s="43"/>
      <c r="BN22" s="43"/>
      <c r="BO22" s="43"/>
      <c r="BP22" s="43"/>
      <c r="BQ22" s="43"/>
      <c r="BR22" s="43"/>
      <c r="BS22" s="43"/>
      <c r="BT22" s="43"/>
      <c r="BU22" s="43"/>
      <c r="BV22" s="43"/>
      <c r="BW22" s="42"/>
      <c r="BX22" s="41"/>
      <c r="BY22" s="41"/>
      <c r="BZ22" s="41"/>
      <c r="CA22" s="41"/>
      <c r="CB22" s="41"/>
      <c r="CC22" s="41"/>
      <c r="CD22" s="41"/>
      <c r="CE22" s="41"/>
      <c r="CF22" s="41"/>
      <c r="CG22" s="41"/>
      <c r="CH22" s="43"/>
      <c r="CI22" s="43"/>
      <c r="CJ22" s="43"/>
      <c r="CK22" s="41"/>
      <c r="CL22" s="41"/>
      <c r="CM22" s="41"/>
      <c r="CN22" s="41"/>
      <c r="CO22" s="41"/>
      <c r="CP22" s="39"/>
      <c r="CQ22" s="45"/>
      <c r="CR22" s="45"/>
      <c r="CS22" s="45"/>
      <c r="CT22" s="45"/>
      <c r="CU22" s="45"/>
      <c r="CV22" s="45"/>
      <c r="CW22" s="45"/>
      <c r="CX22" s="45">
        <f t="shared" si="34"/>
        <v>0</v>
      </c>
      <c r="CY22" s="45">
        <f t="shared" si="2"/>
        <v>0</v>
      </c>
      <c r="CZ22" s="45"/>
      <c r="DA22" s="45"/>
      <c r="DB22" s="45"/>
      <c r="DC22" s="45"/>
      <c r="DD22" s="45"/>
      <c r="DE22" s="39"/>
      <c r="DF22" s="39"/>
      <c r="DG22" s="39"/>
      <c r="DH22" s="39"/>
      <c r="DI22" s="39"/>
      <c r="DJ22" s="39"/>
      <c r="DK22" s="39"/>
      <c r="DL22" s="39"/>
      <c r="DM22" s="39"/>
      <c r="DN22" s="39"/>
      <c r="DO22" s="39"/>
      <c r="DP22" s="39"/>
      <c r="DQ22" s="39"/>
      <c r="DR22" s="39"/>
      <c r="DS22" s="39"/>
      <c r="DT22" s="39"/>
      <c r="DU22" s="39"/>
      <c r="DV22" s="39"/>
      <c r="DW22" s="39"/>
      <c r="DX22" s="39"/>
      <c r="DY22" s="39"/>
      <c r="DZ22" s="39"/>
      <c r="EA22" s="39"/>
      <c r="EB22" s="39"/>
      <c r="EC22" s="39"/>
      <c r="ED22" s="39"/>
      <c r="EE22" s="39"/>
      <c r="EF22" s="39"/>
      <c r="EG22" s="39"/>
      <c r="EH22" s="39"/>
      <c r="EI22" s="39"/>
      <c r="EJ22" s="39"/>
      <c r="EK22" s="39"/>
      <c r="EL22" s="39"/>
      <c r="EM22" s="39"/>
      <c r="EN22" s="39"/>
      <c r="EO22" s="39"/>
    </row>
    <row r="23" spans="1:145" ht="12.95" customHeight="1">
      <c r="A23" s="40"/>
      <c r="B23" s="46" t="s">
        <v>130</v>
      </c>
      <c r="C23" s="44">
        <v>640</v>
      </c>
      <c r="D23" s="44">
        <v>478</v>
      </c>
      <c r="E23" s="44">
        <v>671</v>
      </c>
      <c r="F23" s="44">
        <v>602</v>
      </c>
      <c r="G23" s="43">
        <v>691</v>
      </c>
      <c r="H23" s="43">
        <v>675</v>
      </c>
      <c r="I23" s="43">
        <v>650</v>
      </c>
      <c r="J23" s="43">
        <f>2652-I23-H23-G23</f>
        <v>636</v>
      </c>
      <c r="K23" s="43">
        <v>645</v>
      </c>
      <c r="L23" s="43">
        <v>704</v>
      </c>
      <c r="M23" s="43">
        <v>736</v>
      </c>
      <c r="N23" s="43">
        <v>666</v>
      </c>
      <c r="O23" s="43">
        <v>711</v>
      </c>
      <c r="P23" s="43"/>
      <c r="Q23" s="43"/>
      <c r="R23" s="43"/>
      <c r="S23" s="43"/>
      <c r="T23" s="43"/>
      <c r="U23" s="43"/>
      <c r="V23" s="43"/>
      <c r="W23" s="43">
        <v>694</v>
      </c>
      <c r="X23" s="43">
        <v>681</v>
      </c>
      <c r="Y23" s="43">
        <v>504</v>
      </c>
      <c r="Z23" s="43">
        <v>367</v>
      </c>
      <c r="AA23" s="43">
        <v>426</v>
      </c>
      <c r="AB23" s="43">
        <f>878-AA23</f>
        <v>452</v>
      </c>
      <c r="AC23" s="43"/>
      <c r="AD23" s="43"/>
      <c r="AE23" s="43">
        <v>1195</v>
      </c>
      <c r="AF23" s="43">
        <v>1075</v>
      </c>
      <c r="AG23" s="43">
        <v>1223</v>
      </c>
      <c r="AH23" s="43">
        <v>1237</v>
      </c>
      <c r="AI23" s="43">
        <v>1374</v>
      </c>
      <c r="AJ23" s="43">
        <v>1391</v>
      </c>
      <c r="AK23" s="43">
        <v>1513</v>
      </c>
      <c r="AL23" s="43">
        <v>1566</v>
      </c>
      <c r="AM23" s="43"/>
      <c r="AN23" s="43"/>
      <c r="AO23" s="43"/>
      <c r="AP23" s="43"/>
      <c r="AQ23" s="43">
        <v>1121</v>
      </c>
      <c r="AR23" s="43">
        <f>1206-AR17</f>
        <v>1011</v>
      </c>
      <c r="AS23" s="43">
        <v>1044</v>
      </c>
      <c r="AT23" s="43">
        <v>1074</v>
      </c>
      <c r="AU23" s="43">
        <v>1067</v>
      </c>
      <c r="AV23" s="43">
        <v>1125</v>
      </c>
      <c r="AW23" s="43">
        <v>1038</v>
      </c>
      <c r="AX23" s="43">
        <v>1017</v>
      </c>
      <c r="AY23" s="43">
        <v>1125</v>
      </c>
      <c r="AZ23" s="43">
        <v>977</v>
      </c>
      <c r="BA23" s="43">
        <v>954</v>
      </c>
      <c r="BB23" s="43">
        <v>975</v>
      </c>
      <c r="BC23" s="43">
        <v>1110</v>
      </c>
      <c r="BD23" s="43">
        <v>809</v>
      </c>
      <c r="BE23" s="43">
        <v>859</v>
      </c>
      <c r="BF23" s="43">
        <v>816</v>
      </c>
      <c r="BG23" s="43">
        <v>884</v>
      </c>
      <c r="BH23" s="43">
        <v>830</v>
      </c>
      <c r="BI23" s="43">
        <v>798</v>
      </c>
      <c r="BJ23" s="43">
        <v>713</v>
      </c>
      <c r="BK23" s="43">
        <v>729</v>
      </c>
      <c r="BL23" s="43">
        <v>667</v>
      </c>
      <c r="BM23" s="43">
        <v>594</v>
      </c>
      <c r="BN23" s="43">
        <v>322</v>
      </c>
      <c r="BO23" s="43">
        <v>583</v>
      </c>
      <c r="BP23" s="43">
        <v>533</v>
      </c>
      <c r="BQ23" s="43">
        <v>492</v>
      </c>
      <c r="BR23" s="43">
        <v>512</v>
      </c>
      <c r="BS23" s="43">
        <f t="shared" ref="BS23:BV23" si="43">+BO23</f>
        <v>583</v>
      </c>
      <c r="BT23" s="43">
        <f t="shared" si="43"/>
        <v>533</v>
      </c>
      <c r="BU23" s="43">
        <f t="shared" si="43"/>
        <v>492</v>
      </c>
      <c r="BV23" s="43">
        <f t="shared" si="43"/>
        <v>512</v>
      </c>
      <c r="BW23" s="42"/>
      <c r="BX23" s="41"/>
      <c r="BY23" s="41"/>
      <c r="BZ23" s="41"/>
      <c r="CA23" s="41"/>
      <c r="CB23" s="41"/>
      <c r="CC23" s="41"/>
      <c r="CD23" s="41"/>
      <c r="CE23" s="41"/>
      <c r="CF23" s="41"/>
      <c r="CG23" s="41"/>
      <c r="CH23" s="43">
        <f t="shared" si="17"/>
        <v>2391</v>
      </c>
      <c r="CI23" s="43">
        <f t="shared" si="39"/>
        <v>2652</v>
      </c>
      <c r="CJ23" s="43">
        <f>SUM(K23:N23)</f>
        <v>2751</v>
      </c>
      <c r="CK23" s="43">
        <v>2575</v>
      </c>
      <c r="CL23" s="43">
        <v>2758</v>
      </c>
      <c r="CM23" s="41"/>
      <c r="CN23" s="41"/>
      <c r="CO23" s="41"/>
      <c r="CP23" s="39"/>
      <c r="CQ23" s="45"/>
      <c r="CR23" s="45"/>
      <c r="CS23" s="45"/>
      <c r="CT23" s="45">
        <f t="shared" ref="CT23" si="44">SUM(AY23:BB23)</f>
        <v>4031</v>
      </c>
      <c r="CU23" s="45">
        <f t="shared" ref="CU23" si="45">SUM(BC23:BF23)</f>
        <v>3594</v>
      </c>
      <c r="CV23" s="45">
        <f t="shared" ref="CV23" si="46">SUM(BG23:BJ23)</f>
        <v>3225</v>
      </c>
      <c r="CW23" s="45">
        <f t="shared" ref="CW23" si="47">SUM(BK23:BN23)</f>
        <v>2312</v>
      </c>
      <c r="CX23" s="45">
        <f t="shared" si="34"/>
        <v>2120</v>
      </c>
      <c r="CY23" s="45">
        <f t="shared" si="2"/>
        <v>2120</v>
      </c>
      <c r="CZ23" s="45">
        <f>+CY23*0.95</f>
        <v>2014</v>
      </c>
      <c r="DA23" s="45">
        <f t="shared" ref="DA23:DI23" si="48">+CZ23*0.95</f>
        <v>1913.3</v>
      </c>
      <c r="DB23" s="45">
        <f t="shared" si="48"/>
        <v>1817.6349999999998</v>
      </c>
      <c r="DC23" s="45">
        <f t="shared" si="48"/>
        <v>1726.7532499999998</v>
      </c>
      <c r="DD23" s="45">
        <f t="shared" si="48"/>
        <v>1640.4155874999997</v>
      </c>
      <c r="DE23" s="45">
        <f t="shared" si="48"/>
        <v>1558.3948081249996</v>
      </c>
      <c r="DF23" s="45">
        <f t="shared" si="48"/>
        <v>1480.4750677187496</v>
      </c>
      <c r="DG23" s="45">
        <f t="shared" si="48"/>
        <v>1406.451314332812</v>
      </c>
      <c r="DH23" s="45">
        <f t="shared" si="48"/>
        <v>1336.1287486161714</v>
      </c>
      <c r="DI23" s="45">
        <f t="shared" si="48"/>
        <v>1269.3223111853627</v>
      </c>
      <c r="DJ23" s="39"/>
      <c r="DK23" s="39"/>
      <c r="DL23" s="39"/>
      <c r="DM23" s="39"/>
      <c r="DN23" s="39"/>
      <c r="DO23" s="39"/>
      <c r="DP23" s="39"/>
      <c r="DQ23" s="39"/>
      <c r="DR23" s="39"/>
      <c r="DS23" s="39"/>
      <c r="DT23" s="39"/>
      <c r="DU23" s="39"/>
      <c r="DV23" s="39"/>
      <c r="DW23" s="39"/>
      <c r="DX23" s="39"/>
      <c r="DY23" s="39"/>
      <c r="DZ23" s="39"/>
      <c r="EA23" s="39"/>
      <c r="EB23" s="39"/>
      <c r="EC23" s="39"/>
      <c r="ED23" s="39"/>
      <c r="EE23" s="39"/>
      <c r="EF23" s="39"/>
      <c r="EG23" s="39"/>
      <c r="EH23" s="39"/>
      <c r="EI23" s="39"/>
      <c r="EJ23" s="39"/>
      <c r="EK23" s="39"/>
      <c r="EL23" s="39"/>
      <c r="EM23" s="39"/>
      <c r="EN23" s="39"/>
      <c r="EO23" s="39"/>
    </row>
    <row r="24" spans="1:145" ht="12.95" customHeight="1">
      <c r="A24" s="40"/>
      <c r="B24" s="46"/>
      <c r="C24" s="44"/>
      <c r="D24" s="44"/>
      <c r="E24" s="44"/>
      <c r="F24" s="44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/>
      <c r="AR24" s="43"/>
      <c r="AS24" s="43"/>
      <c r="AT24" s="43"/>
      <c r="AU24" s="43"/>
      <c r="AV24" s="43"/>
      <c r="AW24" s="43"/>
      <c r="AX24" s="43"/>
      <c r="AY24" s="43"/>
      <c r="AZ24" s="43"/>
      <c r="BA24" s="43"/>
      <c r="BB24" s="43"/>
      <c r="BC24" s="43"/>
      <c r="BD24" s="43"/>
      <c r="BE24" s="43"/>
      <c r="BF24" s="43"/>
      <c r="BG24" s="43"/>
      <c r="BH24" s="43"/>
      <c r="BI24" s="43"/>
      <c r="BJ24" s="43"/>
      <c r="BK24" s="43"/>
      <c r="BL24" s="43"/>
      <c r="BM24" s="43"/>
      <c r="BN24" s="43"/>
      <c r="BO24" s="43"/>
      <c r="BP24" s="43"/>
      <c r="BQ24" s="43"/>
      <c r="BR24" s="43"/>
      <c r="BS24" s="43"/>
      <c r="BT24" s="43"/>
      <c r="BU24" s="43"/>
      <c r="BV24" s="43"/>
      <c r="BW24" s="42"/>
      <c r="BX24" s="41"/>
      <c r="BY24" s="41"/>
      <c r="BZ24" s="41"/>
      <c r="CA24" s="41"/>
      <c r="CB24" s="41"/>
      <c r="CC24" s="41"/>
      <c r="CD24" s="41"/>
      <c r="CE24" s="41"/>
      <c r="CF24" s="41"/>
      <c r="CG24" s="41"/>
      <c r="CH24" s="43"/>
      <c r="CI24" s="43"/>
      <c r="CJ24" s="43"/>
      <c r="CK24" s="41"/>
      <c r="CL24" s="41"/>
      <c r="CM24" s="41"/>
      <c r="CN24" s="41"/>
      <c r="CO24" s="41"/>
      <c r="CP24" s="39"/>
      <c r="CQ24" s="45"/>
      <c r="CR24" s="45"/>
      <c r="CS24" s="45"/>
      <c r="CT24" s="45"/>
      <c r="CU24" s="45"/>
      <c r="CV24" s="45"/>
      <c r="CW24" s="45"/>
      <c r="CX24" s="45">
        <f t="shared" si="34"/>
        <v>0</v>
      </c>
      <c r="CY24" s="45">
        <f t="shared" si="2"/>
        <v>0</v>
      </c>
      <c r="CZ24" s="45"/>
      <c r="DA24" s="45"/>
      <c r="DB24" s="45"/>
      <c r="DC24" s="45"/>
      <c r="DD24" s="45"/>
      <c r="DE24" s="39"/>
      <c r="DF24" s="39"/>
      <c r="DG24" s="39"/>
      <c r="DH24" s="39"/>
      <c r="DI24" s="39"/>
      <c r="DJ24" s="39"/>
      <c r="DK24" s="39"/>
      <c r="DL24" s="39"/>
      <c r="DM24" s="39"/>
      <c r="DN24" s="39"/>
      <c r="DO24" s="39"/>
      <c r="DP24" s="39"/>
      <c r="DQ24" s="39"/>
      <c r="DR24" s="39"/>
      <c r="DS24" s="39"/>
      <c r="DT24" s="39"/>
      <c r="DU24" s="39"/>
      <c r="DV24" s="39"/>
      <c r="DW24" s="39"/>
      <c r="DX24" s="39"/>
      <c r="DY24" s="39"/>
      <c r="DZ24" s="39"/>
      <c r="EA24" s="39"/>
      <c r="EB24" s="39"/>
      <c r="EC24" s="39"/>
      <c r="ED24" s="39"/>
      <c r="EE24" s="39"/>
      <c r="EF24" s="39"/>
      <c r="EG24" s="39"/>
      <c r="EH24" s="39"/>
      <c r="EI24" s="39"/>
      <c r="EJ24" s="39"/>
      <c r="EK24" s="39"/>
      <c r="EL24" s="39"/>
      <c r="EM24" s="39"/>
      <c r="EN24" s="39"/>
      <c r="EO24" s="39"/>
    </row>
    <row r="25" spans="1:145" ht="12.95" customHeight="1">
      <c r="A25" s="40"/>
      <c r="B25" s="46" t="s">
        <v>26</v>
      </c>
      <c r="C25" s="44">
        <v>1440</v>
      </c>
      <c r="D25" s="44">
        <v>1648</v>
      </c>
      <c r="E25" s="44">
        <v>1534</v>
      </c>
      <c r="F25" s="44">
        <v>1774</v>
      </c>
      <c r="G25" s="43">
        <v>1805</v>
      </c>
      <c r="H25" s="43">
        <v>1874</v>
      </c>
      <c r="I25" s="43">
        <v>1651</v>
      </c>
      <c r="J25" s="43">
        <f>7072-I25-H25-G25</f>
        <v>1742</v>
      </c>
      <c r="K25" s="43">
        <v>1914</v>
      </c>
      <c r="L25" s="43">
        <v>2155</v>
      </c>
      <c r="M25" s="43">
        <v>1965</v>
      </c>
      <c r="N25" s="43">
        <f>8030-M25-L25-K25</f>
        <v>1996</v>
      </c>
      <c r="O25" s="43">
        <v>2032</v>
      </c>
      <c r="P25" s="43"/>
      <c r="Q25" s="43"/>
      <c r="R25" s="43"/>
      <c r="S25" s="43"/>
      <c r="T25" s="43"/>
      <c r="U25" s="43"/>
      <c r="V25" s="43"/>
      <c r="W25" s="43">
        <v>2027</v>
      </c>
      <c r="X25" s="43">
        <v>2542</v>
      </c>
      <c r="Y25" s="43">
        <v>2428</v>
      </c>
      <c r="Z25" s="43">
        <v>2259</v>
      </c>
      <c r="AA25" s="43">
        <v>2247</v>
      </c>
      <c r="AB25" s="43">
        <f>4539-AA25</f>
        <v>2292</v>
      </c>
      <c r="AC25" s="43"/>
      <c r="AD25" s="43"/>
      <c r="AE25" s="43">
        <v>2734</v>
      </c>
      <c r="AF25" s="43">
        <v>2757</v>
      </c>
      <c r="AG25" s="43">
        <v>2371</v>
      </c>
      <c r="AH25" s="43">
        <v>2785</v>
      </c>
      <c r="AI25" s="43">
        <v>2836</v>
      </c>
      <c r="AJ25" s="43">
        <v>2530</v>
      </c>
      <c r="AK25" s="43">
        <v>2285</v>
      </c>
      <c r="AL25" s="43">
        <v>2821</v>
      </c>
      <c r="AM25" s="43"/>
      <c r="AN25" s="43"/>
      <c r="AO25" s="43"/>
      <c r="AP25" s="43"/>
      <c r="AQ25" s="43">
        <v>2154</v>
      </c>
      <c r="AR25" s="43">
        <v>1886</v>
      </c>
      <c r="AS25" s="43">
        <v>1885</v>
      </c>
      <c r="AT25" s="43">
        <v>1956</v>
      </c>
      <c r="AU25" s="43">
        <v>2012</v>
      </c>
      <c r="AV25" s="43">
        <v>2163</v>
      </c>
      <c r="AW25" s="43">
        <v>1985</v>
      </c>
      <c r="AX25" s="43">
        <v>1959</v>
      </c>
      <c r="AY25" s="43">
        <v>2181</v>
      </c>
      <c r="AZ25" s="43">
        <v>1828</v>
      </c>
      <c r="BA25" s="43">
        <v>1674</v>
      </c>
      <c r="BB25" s="43">
        <v>1520</v>
      </c>
      <c r="BC25" s="43">
        <v>1980</v>
      </c>
      <c r="BD25" s="43">
        <v>1875</v>
      </c>
      <c r="BE25" s="43">
        <v>1676</v>
      </c>
      <c r="BF25" s="43">
        <v>1690</v>
      </c>
      <c r="BG25" s="43">
        <v>2271</v>
      </c>
      <c r="BH25" s="43">
        <v>2018</v>
      </c>
      <c r="BI25" s="43">
        <v>2108</v>
      </c>
      <c r="BJ25" s="43">
        <v>1911</v>
      </c>
      <c r="BK25" s="43">
        <v>2101</v>
      </c>
      <c r="BL25" s="43">
        <v>1794</v>
      </c>
      <c r="BM25" s="43">
        <v>2078</v>
      </c>
      <c r="BN25" s="43">
        <v>1985</v>
      </c>
      <c r="BO25" s="43">
        <v>1952</v>
      </c>
      <c r="BP25" s="43">
        <v>1802</v>
      </c>
      <c r="BQ25" s="43">
        <v>2003</v>
      </c>
      <c r="BR25" s="43">
        <f t="shared" ref="BR25:BV25" si="49">+BQ25</f>
        <v>2003</v>
      </c>
      <c r="BS25" s="43">
        <f t="shared" si="49"/>
        <v>2003</v>
      </c>
      <c r="BT25" s="43">
        <f t="shared" si="49"/>
        <v>2003</v>
      </c>
      <c r="BU25" s="43">
        <f t="shared" si="49"/>
        <v>2003</v>
      </c>
      <c r="BV25" s="43">
        <f t="shared" si="49"/>
        <v>2003</v>
      </c>
      <c r="BW25" s="42"/>
      <c r="BX25" s="41"/>
      <c r="BY25" s="41"/>
      <c r="BZ25" s="41"/>
      <c r="CA25" s="41"/>
      <c r="CB25" s="41"/>
      <c r="CC25" s="41"/>
      <c r="CD25" s="41"/>
      <c r="CE25" s="41"/>
      <c r="CF25" s="41"/>
      <c r="CG25" s="41"/>
      <c r="CH25" s="43">
        <f t="shared" si="17"/>
        <v>6396</v>
      </c>
      <c r="CI25" s="43">
        <f t="shared" si="39"/>
        <v>7072</v>
      </c>
      <c r="CJ25" s="43">
        <f>SUM(K25:N25)</f>
        <v>8030</v>
      </c>
      <c r="CK25" s="43">
        <v>8347</v>
      </c>
      <c r="CL25" s="43">
        <v>8933</v>
      </c>
      <c r="CM25" s="41"/>
      <c r="CN25" s="41"/>
      <c r="CO25" s="41"/>
      <c r="CP25" s="39"/>
      <c r="CQ25" s="45"/>
      <c r="CR25" s="45"/>
      <c r="CS25" s="45"/>
      <c r="CT25" s="45">
        <f t="shared" ref="CT25:CT32" si="50">SUM(AY25:BB25)</f>
        <v>7203</v>
      </c>
      <c r="CU25" s="45">
        <f t="shared" ref="CU25:CU39" si="51">SUM(BC25:BF25)</f>
        <v>7221</v>
      </c>
      <c r="CV25" s="45">
        <f t="shared" ref="CV25:CV39" si="52">SUM(BG25:BJ25)</f>
        <v>8308</v>
      </c>
      <c r="CW25" s="45">
        <f t="shared" ref="CW25:CW34" si="53">SUM(BK25:BN25)</f>
        <v>7958</v>
      </c>
      <c r="CX25" s="45">
        <f t="shared" si="34"/>
        <v>7760</v>
      </c>
      <c r="CY25" s="45">
        <f t="shared" si="2"/>
        <v>8012</v>
      </c>
      <c r="CZ25" s="45">
        <f>+CY25*0.95</f>
        <v>7611.4</v>
      </c>
      <c r="DA25" s="45">
        <f t="shared" ref="DA25:DI29" si="54">+CZ25*0.95</f>
        <v>7230.829999999999</v>
      </c>
      <c r="DB25" s="45">
        <f t="shared" si="54"/>
        <v>6869.2884999999987</v>
      </c>
      <c r="DC25" s="45">
        <f t="shared" si="54"/>
        <v>6525.8240749999986</v>
      </c>
      <c r="DD25" s="45">
        <f t="shared" si="54"/>
        <v>6199.5328712499986</v>
      </c>
      <c r="DE25" s="45">
        <f t="shared" si="54"/>
        <v>5889.556227687498</v>
      </c>
      <c r="DF25" s="45">
        <f t="shared" si="54"/>
        <v>5595.078416303123</v>
      </c>
      <c r="DG25" s="45">
        <f t="shared" si="54"/>
        <v>5315.3244954879665</v>
      </c>
      <c r="DH25" s="45">
        <f t="shared" si="54"/>
        <v>5049.5582707135682</v>
      </c>
      <c r="DI25" s="45">
        <f t="shared" si="54"/>
        <v>4797.0803571778897</v>
      </c>
      <c r="DJ25" s="39"/>
      <c r="DK25" s="39"/>
      <c r="DL25" s="39"/>
      <c r="DM25" s="39"/>
      <c r="DN25" s="39"/>
      <c r="DO25" s="39"/>
      <c r="DP25" s="39"/>
      <c r="DQ25" s="39"/>
      <c r="DR25" s="39"/>
      <c r="DS25" s="39"/>
      <c r="DT25" s="39"/>
      <c r="DU25" s="39"/>
      <c r="DV25" s="39"/>
      <c r="DW25" s="39"/>
      <c r="DX25" s="39"/>
      <c r="DY25" s="39"/>
      <c r="DZ25" s="39"/>
      <c r="EA25" s="39"/>
      <c r="EB25" s="39"/>
      <c r="EC25" s="39"/>
      <c r="ED25" s="39"/>
      <c r="EE25" s="39"/>
      <c r="EF25" s="39"/>
      <c r="EG25" s="39"/>
      <c r="EH25" s="39"/>
      <c r="EI25" s="39"/>
      <c r="EJ25" s="39"/>
      <c r="EK25" s="39"/>
      <c r="EL25" s="39"/>
      <c r="EM25" s="39"/>
      <c r="EN25" s="39"/>
      <c r="EO25" s="39"/>
    </row>
    <row r="26" spans="1:145" ht="12.95" customHeight="1">
      <c r="A26" s="40"/>
      <c r="B26" s="46" t="s">
        <v>179</v>
      </c>
      <c r="C26" s="44"/>
      <c r="D26" s="44"/>
      <c r="E26" s="44"/>
      <c r="F26" s="44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  <c r="BA26" s="43"/>
      <c r="BC26" s="43">
        <v>497</v>
      </c>
      <c r="BD26" s="43">
        <v>623</v>
      </c>
      <c r="BE26" s="43">
        <v>411</v>
      </c>
      <c r="BF26" s="43">
        <v>581</v>
      </c>
      <c r="BG26" s="43">
        <v>565</v>
      </c>
      <c r="BH26" s="43">
        <v>619</v>
      </c>
      <c r="BI26" s="43">
        <v>512</v>
      </c>
      <c r="BJ26" s="43">
        <v>642</v>
      </c>
      <c r="BK26" s="43">
        <v>660</v>
      </c>
      <c r="BL26" s="43">
        <v>688</v>
      </c>
      <c r="BM26" s="43">
        <v>549</v>
      </c>
      <c r="BN26" s="43">
        <v>525</v>
      </c>
      <c r="BO26" s="43">
        <v>603</v>
      </c>
      <c r="BP26" s="43">
        <v>613</v>
      </c>
      <c r="BQ26" s="43">
        <v>568</v>
      </c>
      <c r="BR26" s="43">
        <v>670</v>
      </c>
      <c r="BS26" s="43">
        <f t="shared" ref="BS26:BV26" si="55">+BR26</f>
        <v>670</v>
      </c>
      <c r="BT26" s="43">
        <f t="shared" si="55"/>
        <v>670</v>
      </c>
      <c r="BU26" s="43">
        <f t="shared" si="55"/>
        <v>670</v>
      </c>
      <c r="BV26" s="43">
        <f t="shared" si="55"/>
        <v>670</v>
      </c>
      <c r="BW26" s="42"/>
      <c r="BX26" s="41"/>
      <c r="BY26" s="41"/>
      <c r="BZ26" s="41"/>
      <c r="CA26" s="41"/>
      <c r="CB26" s="41"/>
      <c r="CC26" s="41"/>
      <c r="CD26" s="41"/>
      <c r="CE26" s="41"/>
      <c r="CF26" s="41"/>
      <c r="CG26" s="41"/>
      <c r="CH26" s="43"/>
      <c r="CI26" s="43"/>
      <c r="CJ26" s="43"/>
      <c r="CK26" s="41"/>
      <c r="CL26" s="41"/>
      <c r="CM26" s="41"/>
      <c r="CN26" s="41"/>
      <c r="CO26" s="41"/>
      <c r="CP26" s="39"/>
      <c r="CQ26" s="45"/>
      <c r="CR26" s="45"/>
      <c r="CS26" s="45"/>
      <c r="CT26" s="45">
        <f t="shared" si="50"/>
        <v>0</v>
      </c>
      <c r="CU26" s="45">
        <f t="shared" si="51"/>
        <v>2112</v>
      </c>
      <c r="CV26" s="45">
        <f t="shared" si="52"/>
        <v>2338</v>
      </c>
      <c r="CW26" s="45">
        <f t="shared" si="53"/>
        <v>2422</v>
      </c>
      <c r="CX26" s="45">
        <f t="shared" si="34"/>
        <v>2454</v>
      </c>
      <c r="CY26" s="45">
        <f t="shared" si="2"/>
        <v>2680</v>
      </c>
      <c r="CZ26" s="45">
        <f>+CY26*0.95</f>
        <v>2546</v>
      </c>
      <c r="DA26" s="45">
        <f t="shared" si="54"/>
        <v>2418.6999999999998</v>
      </c>
      <c r="DB26" s="45">
        <f t="shared" si="54"/>
        <v>2297.7649999999999</v>
      </c>
      <c r="DC26" s="45">
        <f t="shared" si="54"/>
        <v>2182.8767499999999</v>
      </c>
      <c r="DD26" s="45">
        <f t="shared" si="54"/>
        <v>2073.7329124999997</v>
      </c>
      <c r="DE26" s="45">
        <f t="shared" si="54"/>
        <v>1970.0462668749997</v>
      </c>
      <c r="DF26" s="45">
        <f t="shared" si="54"/>
        <v>1871.5439535312496</v>
      </c>
      <c r="DG26" s="45">
        <f t="shared" si="54"/>
        <v>1777.9667558546871</v>
      </c>
      <c r="DH26" s="45">
        <f t="shared" si="54"/>
        <v>1689.0684180619526</v>
      </c>
      <c r="DI26" s="45">
        <f t="shared" si="54"/>
        <v>1604.614997158855</v>
      </c>
      <c r="DJ26" s="39"/>
      <c r="DK26" s="39"/>
      <c r="DL26" s="39"/>
      <c r="DM26" s="39"/>
      <c r="DN26" s="39"/>
      <c r="DO26" s="39"/>
      <c r="DP26" s="39"/>
      <c r="DQ26" s="39"/>
      <c r="DR26" s="39"/>
      <c r="DS26" s="39"/>
      <c r="DT26" s="39"/>
      <c r="DU26" s="39"/>
      <c r="DV26" s="39"/>
      <c r="DW26" s="39"/>
      <c r="DX26" s="39"/>
      <c r="DY26" s="39"/>
      <c r="DZ26" s="39"/>
      <c r="EA26" s="39"/>
      <c r="EB26" s="39"/>
      <c r="EC26" s="39"/>
      <c r="ED26" s="39"/>
      <c r="EE26" s="39"/>
      <c r="EF26" s="39"/>
      <c r="EG26" s="39"/>
      <c r="EH26" s="39"/>
      <c r="EI26" s="39"/>
      <c r="EJ26" s="39"/>
      <c r="EK26" s="39"/>
      <c r="EL26" s="39"/>
      <c r="EM26" s="39"/>
      <c r="EN26" s="39"/>
      <c r="EO26" s="39"/>
    </row>
    <row r="27" spans="1:145" ht="12.95" customHeight="1">
      <c r="A27" s="40"/>
      <c r="B27" s="46" t="s">
        <v>180</v>
      </c>
      <c r="C27" s="44"/>
      <c r="D27" s="44"/>
      <c r="E27" s="44"/>
      <c r="F27" s="44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>
        <v>296</v>
      </c>
      <c r="AR27" s="43">
        <v>339</v>
      </c>
      <c r="AS27" s="43">
        <v>323</v>
      </c>
      <c r="AT27" s="43">
        <v>396</v>
      </c>
      <c r="AU27" s="43">
        <v>393</v>
      </c>
      <c r="AV27" s="43">
        <v>369</v>
      </c>
      <c r="AW27" s="43">
        <v>357</v>
      </c>
      <c r="AX27" s="43">
        <v>406</v>
      </c>
      <c r="AY27" s="43">
        <v>400</v>
      </c>
      <c r="AZ27" s="43">
        <v>340</v>
      </c>
      <c r="BA27" s="43">
        <v>375</v>
      </c>
      <c r="BB27" s="43">
        <v>347</v>
      </c>
      <c r="BC27" s="43">
        <v>147</v>
      </c>
      <c r="BD27" s="43">
        <v>162</v>
      </c>
      <c r="BE27" s="43">
        <v>166</v>
      </c>
      <c r="BF27" s="43">
        <v>162</v>
      </c>
      <c r="BG27" s="43">
        <v>177</v>
      </c>
      <c r="BH27" s="43">
        <v>162</v>
      </c>
      <c r="BI27" s="43">
        <v>194</v>
      </c>
      <c r="BJ27" s="43">
        <v>226</v>
      </c>
      <c r="BK27" s="43">
        <v>197</v>
      </c>
      <c r="BL27" s="43">
        <v>250</v>
      </c>
      <c r="BM27" s="43">
        <v>285</v>
      </c>
      <c r="BN27" s="43">
        <v>329</v>
      </c>
      <c r="BO27" s="43">
        <v>262</v>
      </c>
      <c r="BP27" s="43">
        <v>361</v>
      </c>
      <c r="BQ27" s="43">
        <v>305</v>
      </c>
      <c r="BR27" s="43">
        <v>378</v>
      </c>
      <c r="BS27" s="43">
        <f t="shared" ref="BS27:BV29" si="56">+BR27</f>
        <v>378</v>
      </c>
      <c r="BT27" s="43">
        <f t="shared" si="56"/>
        <v>378</v>
      </c>
      <c r="BU27" s="43">
        <f t="shared" si="56"/>
        <v>378</v>
      </c>
      <c r="BV27" s="43">
        <f t="shared" si="56"/>
        <v>378</v>
      </c>
      <c r="BW27" s="42"/>
      <c r="BX27" s="41"/>
      <c r="BY27" s="41"/>
      <c r="BZ27" s="41"/>
      <c r="CA27" s="41"/>
      <c r="CB27" s="41"/>
      <c r="CC27" s="41"/>
      <c r="CD27" s="41"/>
      <c r="CE27" s="41"/>
      <c r="CF27" s="41"/>
      <c r="CG27" s="41"/>
      <c r="CH27" s="43"/>
      <c r="CI27" s="43"/>
      <c r="CJ27" s="43"/>
      <c r="CK27" s="41"/>
      <c r="CL27" s="41"/>
      <c r="CM27" s="41"/>
      <c r="CN27" s="41"/>
      <c r="CO27" s="41"/>
      <c r="CP27" s="39"/>
      <c r="CQ27" s="45"/>
      <c r="CR27" s="45"/>
      <c r="CS27" s="45"/>
      <c r="CT27" s="45">
        <f t="shared" si="50"/>
        <v>1462</v>
      </c>
      <c r="CU27" s="45">
        <f t="shared" si="51"/>
        <v>637</v>
      </c>
      <c r="CV27" s="45">
        <f t="shared" si="52"/>
        <v>759</v>
      </c>
      <c r="CW27" s="45">
        <f t="shared" si="53"/>
        <v>1061</v>
      </c>
      <c r="CX27" s="45">
        <f t="shared" si="34"/>
        <v>1306</v>
      </c>
      <c r="CY27" s="45">
        <f t="shared" si="2"/>
        <v>1512</v>
      </c>
      <c r="CZ27" s="45">
        <f>+CY27*0.95</f>
        <v>1436.3999999999999</v>
      </c>
      <c r="DA27" s="45">
        <f t="shared" si="54"/>
        <v>1364.5799999999997</v>
      </c>
      <c r="DB27" s="45">
        <f t="shared" si="54"/>
        <v>1296.3509999999997</v>
      </c>
      <c r="DC27" s="45">
        <f t="shared" si="54"/>
        <v>1231.5334499999997</v>
      </c>
      <c r="DD27" s="45">
        <f t="shared" si="54"/>
        <v>1169.9567774999996</v>
      </c>
      <c r="DE27" s="45">
        <f t="shared" si="54"/>
        <v>1111.4589386249995</v>
      </c>
      <c r="DF27" s="45">
        <f t="shared" si="54"/>
        <v>1055.8859916937495</v>
      </c>
      <c r="DG27" s="45">
        <f t="shared" si="54"/>
        <v>1003.0916921090619</v>
      </c>
      <c r="DH27" s="45">
        <f t="shared" si="54"/>
        <v>952.93710750360879</v>
      </c>
      <c r="DI27" s="45">
        <f t="shared" si="54"/>
        <v>905.29025212842828</v>
      </c>
      <c r="DJ27" s="39"/>
      <c r="DK27" s="39"/>
      <c r="DL27" s="39"/>
      <c r="DM27" s="39"/>
      <c r="DN27" s="39"/>
      <c r="DO27" s="39"/>
      <c r="DP27" s="39"/>
      <c r="DQ27" s="39"/>
      <c r="DR27" s="39"/>
      <c r="DS27" s="39"/>
      <c r="DT27" s="39"/>
      <c r="DU27" s="39"/>
      <c r="DV27" s="39"/>
      <c r="DW27" s="39"/>
      <c r="DX27" s="39"/>
      <c r="DY27" s="39"/>
      <c r="DZ27" s="39"/>
      <c r="EA27" s="39"/>
      <c r="EB27" s="39"/>
      <c r="EC27" s="39"/>
      <c r="ED27" s="39"/>
      <c r="EE27" s="39"/>
      <c r="EF27" s="39"/>
      <c r="EG27" s="39"/>
      <c r="EH27" s="39"/>
      <c r="EI27" s="39"/>
      <c r="EJ27" s="39"/>
      <c r="EK27" s="39"/>
      <c r="EL27" s="39"/>
      <c r="EM27" s="39"/>
      <c r="EN27" s="39"/>
      <c r="EO27" s="39"/>
    </row>
    <row r="28" spans="1:145" ht="12.95" customHeight="1">
      <c r="A28" s="40"/>
      <c r="B28" s="46" t="s">
        <v>181</v>
      </c>
      <c r="C28" s="44"/>
      <c r="D28" s="44"/>
      <c r="E28" s="44"/>
      <c r="F28" s="44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>
        <v>338</v>
      </c>
      <c r="AR28" s="43">
        <v>377</v>
      </c>
      <c r="AS28" s="43">
        <v>407</v>
      </c>
      <c r="AT28" s="43">
        <v>395</v>
      </c>
      <c r="AU28" s="43">
        <v>385</v>
      </c>
      <c r="AV28" s="43">
        <v>372</v>
      </c>
      <c r="AW28" s="43">
        <v>411</v>
      </c>
      <c r="AX28" s="43">
        <v>457</v>
      </c>
      <c r="AY28" s="43">
        <f>2810-AY27-AY25</f>
        <v>229</v>
      </c>
      <c r="AZ28" s="43">
        <f>2401-AZ25-AZ27</f>
        <v>233</v>
      </c>
      <c r="BA28" s="43">
        <f>2311-BA25-BA27</f>
        <v>262</v>
      </c>
      <c r="BB28" s="43">
        <f>2140-BB27-BB25</f>
        <v>273</v>
      </c>
      <c r="BC28" s="43">
        <f>2678-SUM(BC25:BC27)</f>
        <v>54</v>
      </c>
      <c r="BD28" s="43">
        <f>2723-BD27-BD26-BD25</f>
        <v>63</v>
      </c>
      <c r="BE28" s="43">
        <f>2326-BE27-BE26-BE25</f>
        <v>73</v>
      </c>
      <c r="BF28" s="43">
        <f>2490-BF27-BF26-BF25</f>
        <v>57</v>
      </c>
      <c r="BG28" s="43">
        <f>3077-SUM(BG25:BG27)</f>
        <v>64</v>
      </c>
      <c r="BH28" s="43">
        <f>2863-BH27-BH26-BH25</f>
        <v>64</v>
      </c>
      <c r="BI28" s="43">
        <f>2885-BI27-BI26-BI25</f>
        <v>71</v>
      </c>
      <c r="BJ28" s="43">
        <f>2881-BJ27-BJ26-BJ25</f>
        <v>102</v>
      </c>
      <c r="BK28" s="43">
        <f>3049-BK27-BK26-BK25</f>
        <v>91</v>
      </c>
      <c r="BL28" s="43">
        <f>2836-BL27-BL26-BL25</f>
        <v>104</v>
      </c>
      <c r="BM28" s="43">
        <f>2957-BM27-BM26-BM25</f>
        <v>45</v>
      </c>
      <c r="BN28" s="43">
        <f>2934-BN27-BN26-BN25</f>
        <v>95</v>
      </c>
      <c r="BO28" s="43">
        <f>4384-BO29-BO27-BO26-BO25</f>
        <v>71</v>
      </c>
      <c r="BP28" s="43">
        <f>3976-BP29-BP27-BP26-BP25</f>
        <v>88</v>
      </c>
      <c r="BQ28" s="43">
        <f>4574-BQ29-BQ27-BQ26-BQ25</f>
        <v>112</v>
      </c>
      <c r="BR28" s="43">
        <f>5705-BR29-BR27-BR26-BR25</f>
        <v>347</v>
      </c>
      <c r="BS28" s="43">
        <f t="shared" si="56"/>
        <v>347</v>
      </c>
      <c r="BT28" s="43">
        <f t="shared" si="56"/>
        <v>347</v>
      </c>
      <c r="BU28" s="43">
        <f t="shared" si="56"/>
        <v>347</v>
      </c>
      <c r="BV28" s="43">
        <f t="shared" si="56"/>
        <v>347</v>
      </c>
      <c r="BW28" s="42"/>
      <c r="BX28" s="41"/>
      <c r="BY28" s="41"/>
      <c r="BZ28" s="41"/>
      <c r="CA28" s="41"/>
      <c r="CB28" s="41"/>
      <c r="CC28" s="41"/>
      <c r="CD28" s="41"/>
      <c r="CE28" s="41"/>
      <c r="CF28" s="41"/>
      <c r="CG28" s="41"/>
      <c r="CH28" s="43"/>
      <c r="CI28" s="43"/>
      <c r="CJ28" s="43"/>
      <c r="CK28" s="41"/>
      <c r="CL28" s="41"/>
      <c r="CM28" s="41"/>
      <c r="CN28" s="41"/>
      <c r="CO28" s="41"/>
      <c r="CP28" s="39"/>
      <c r="CQ28" s="45"/>
      <c r="CR28" s="45"/>
      <c r="CS28" s="45"/>
      <c r="CT28" s="45">
        <f t="shared" si="50"/>
        <v>997</v>
      </c>
      <c r="CU28" s="45">
        <f t="shared" si="51"/>
        <v>247</v>
      </c>
      <c r="CV28" s="45">
        <f t="shared" si="52"/>
        <v>301</v>
      </c>
      <c r="CW28" s="45">
        <f t="shared" si="53"/>
        <v>335</v>
      </c>
      <c r="CX28" s="45">
        <f t="shared" si="34"/>
        <v>618</v>
      </c>
      <c r="CY28" s="45">
        <f t="shared" si="2"/>
        <v>1388</v>
      </c>
      <c r="CZ28" s="45">
        <f>+CY28*0.95</f>
        <v>1318.6</v>
      </c>
      <c r="DA28" s="45">
        <f t="shared" si="54"/>
        <v>1252.6699999999998</v>
      </c>
      <c r="DB28" s="45">
        <f t="shared" si="54"/>
        <v>1190.0364999999997</v>
      </c>
      <c r="DC28" s="45">
        <f t="shared" si="54"/>
        <v>1130.5346749999997</v>
      </c>
      <c r="DD28" s="45">
        <f t="shared" si="54"/>
        <v>1074.0079412499997</v>
      </c>
      <c r="DE28" s="45">
        <f t="shared" si="54"/>
        <v>1020.3075441874996</v>
      </c>
      <c r="DF28" s="45">
        <f t="shared" si="54"/>
        <v>969.29216697812456</v>
      </c>
      <c r="DG28" s="45">
        <f t="shared" si="54"/>
        <v>920.82755862921829</v>
      </c>
      <c r="DH28" s="45">
        <f t="shared" si="54"/>
        <v>874.78618069775735</v>
      </c>
      <c r="DI28" s="45">
        <f t="shared" si="54"/>
        <v>831.04687166286942</v>
      </c>
      <c r="DJ28" s="39"/>
      <c r="DK28" s="39"/>
      <c r="DL28" s="39"/>
      <c r="DM28" s="39"/>
      <c r="DN28" s="39"/>
      <c r="DO28" s="39"/>
      <c r="DP28" s="39"/>
      <c r="DQ28" s="39"/>
      <c r="DR28" s="39"/>
      <c r="DS28" s="39"/>
      <c r="DT28" s="39"/>
      <c r="DU28" s="39"/>
      <c r="DV28" s="39"/>
      <c r="DW28" s="39"/>
      <c r="DX28" s="39"/>
      <c r="DY28" s="39"/>
      <c r="DZ28" s="39"/>
      <c r="EA28" s="39"/>
      <c r="EB28" s="39"/>
      <c r="EC28" s="39"/>
      <c r="ED28" s="39"/>
      <c r="EE28" s="39"/>
      <c r="EF28" s="39"/>
      <c r="EG28" s="39"/>
      <c r="EH28" s="39"/>
      <c r="EI28" s="39"/>
      <c r="EJ28" s="39"/>
      <c r="EK28" s="39"/>
      <c r="EL28" s="39"/>
      <c r="EM28" s="39"/>
      <c r="EN28" s="39"/>
      <c r="EO28" s="39"/>
    </row>
    <row r="29" spans="1:145" ht="12.95" customHeight="1">
      <c r="A29" s="40"/>
      <c r="B29" s="46" t="s">
        <v>182</v>
      </c>
      <c r="C29" s="44"/>
      <c r="D29" s="44"/>
      <c r="E29" s="44"/>
      <c r="F29" s="44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>
        <f>1481+2503-AQ25-AQ27</f>
        <v>1534</v>
      </c>
      <c r="AR29" s="43">
        <f>1703+2294-AR25-AR27</f>
        <v>1772</v>
      </c>
      <c r="AS29" s="43">
        <f>1688+2301-AS25-AS27</f>
        <v>1781</v>
      </c>
      <c r="AT29" s="43">
        <f>1962+2478-AT25-AT27</f>
        <v>2088</v>
      </c>
      <c r="AU29" s="43">
        <f>1555+2533-AU25-AU27</f>
        <v>1683</v>
      </c>
      <c r="AV29" s="43">
        <f>1758+2670-AV25-AV27</f>
        <v>1896</v>
      </c>
      <c r="AW29" s="43">
        <f>1886+2524-AW25-AW27</f>
        <v>2068</v>
      </c>
      <c r="AX29" s="43">
        <f>2076+2554-AX25-AX27</f>
        <v>2265</v>
      </c>
      <c r="AY29" s="43">
        <f>444+2030</f>
        <v>2474</v>
      </c>
      <c r="AZ29" s="43">
        <f>337+1952</f>
        <v>2289</v>
      </c>
      <c r="BA29" s="43">
        <f>1890+380</f>
        <v>2270</v>
      </c>
      <c r="BB29" s="43">
        <f>1832+399</f>
        <v>2231</v>
      </c>
      <c r="BC29" s="43">
        <f>1920+379</f>
        <v>2299</v>
      </c>
      <c r="BD29" s="43">
        <f>424+1859</f>
        <v>2283</v>
      </c>
      <c r="BE29" s="43">
        <f>376+1805</f>
        <v>2181</v>
      </c>
      <c r="BF29" s="43">
        <f>1719+504</f>
        <v>2223</v>
      </c>
      <c r="BG29" s="43">
        <f>1820+466</f>
        <v>2286</v>
      </c>
      <c r="BH29" s="43">
        <f>1923+432</f>
        <v>2355</v>
      </c>
      <c r="BI29" s="43">
        <f>430+1793</f>
        <v>2223</v>
      </c>
      <c r="BJ29" s="43">
        <f>370+1602</f>
        <v>1972</v>
      </c>
      <c r="BK29" s="43">
        <f>399+1128</f>
        <v>1527</v>
      </c>
      <c r="BL29" s="43">
        <f>902+376</f>
        <v>1278</v>
      </c>
      <c r="BM29" s="43">
        <f>542+403</f>
        <v>945</v>
      </c>
      <c r="BN29" s="43">
        <f>1264+373</f>
        <v>1637</v>
      </c>
      <c r="BO29" s="43">
        <f>1113+383</f>
        <v>1496</v>
      </c>
      <c r="BP29" s="43">
        <f>730+382</f>
        <v>1112</v>
      </c>
      <c r="BQ29" s="43">
        <f>1227+359</f>
        <v>1586</v>
      </c>
      <c r="BR29" s="43">
        <f>384+1923</f>
        <v>2307</v>
      </c>
      <c r="BS29" s="43">
        <f t="shared" si="56"/>
        <v>2307</v>
      </c>
      <c r="BT29" s="43">
        <f t="shared" si="56"/>
        <v>2307</v>
      </c>
      <c r="BU29" s="43">
        <f t="shared" si="56"/>
        <v>2307</v>
      </c>
      <c r="BV29" s="43">
        <f t="shared" si="56"/>
        <v>2307</v>
      </c>
      <c r="BW29" s="42"/>
      <c r="BX29" s="41"/>
      <c r="BY29" s="41"/>
      <c r="BZ29" s="41"/>
      <c r="CA29" s="41"/>
      <c r="CB29" s="41"/>
      <c r="CC29" s="41"/>
      <c r="CD29" s="41"/>
      <c r="CE29" s="41"/>
      <c r="CF29" s="41"/>
      <c r="CG29" s="41"/>
      <c r="CH29" s="43"/>
      <c r="CI29" s="43"/>
      <c r="CJ29" s="43"/>
      <c r="CK29" s="41"/>
      <c r="CL29" s="41"/>
      <c r="CM29" s="41"/>
      <c r="CN29" s="41"/>
      <c r="CO29" s="41"/>
      <c r="CP29" s="39"/>
      <c r="CQ29" s="45"/>
      <c r="CR29" s="45"/>
      <c r="CS29" s="45"/>
      <c r="CT29" s="45">
        <f t="shared" si="50"/>
        <v>9264</v>
      </c>
      <c r="CU29" s="45">
        <f t="shared" si="51"/>
        <v>8986</v>
      </c>
      <c r="CV29" s="45">
        <f t="shared" si="52"/>
        <v>8836</v>
      </c>
      <c r="CW29" s="45">
        <f t="shared" si="53"/>
        <v>5387</v>
      </c>
      <c r="CX29" s="45">
        <f t="shared" si="34"/>
        <v>6501</v>
      </c>
      <c r="CY29" s="45">
        <f t="shared" si="2"/>
        <v>9228</v>
      </c>
      <c r="CZ29" s="45">
        <f>+CY29*0.95</f>
        <v>8766.6</v>
      </c>
      <c r="DA29" s="45">
        <f t="shared" si="54"/>
        <v>8328.27</v>
      </c>
      <c r="DB29" s="45">
        <f t="shared" si="54"/>
        <v>7911.8564999999999</v>
      </c>
      <c r="DC29" s="45">
        <f t="shared" si="54"/>
        <v>7516.2636749999992</v>
      </c>
      <c r="DD29" s="45">
        <f t="shared" si="54"/>
        <v>7140.4504912499988</v>
      </c>
      <c r="DE29" s="45">
        <f t="shared" si="54"/>
        <v>6783.4279666874982</v>
      </c>
      <c r="DF29" s="45">
        <f t="shared" si="54"/>
        <v>6444.2565683531229</v>
      </c>
      <c r="DG29" s="45">
        <f t="shared" si="54"/>
        <v>6122.0437399354669</v>
      </c>
      <c r="DH29" s="45">
        <f t="shared" si="54"/>
        <v>5815.9415529386933</v>
      </c>
      <c r="DI29" s="45">
        <f t="shared" si="54"/>
        <v>5525.1444752917587</v>
      </c>
      <c r="DJ29" s="39"/>
      <c r="DK29" s="39"/>
      <c r="DL29" s="39"/>
      <c r="DM29" s="39"/>
      <c r="DN29" s="39"/>
      <c r="DO29" s="39"/>
      <c r="DP29" s="39"/>
      <c r="DQ29" s="39"/>
      <c r="DR29" s="39"/>
      <c r="DS29" s="39"/>
      <c r="DT29" s="39"/>
      <c r="DU29" s="39"/>
      <c r="DV29" s="39"/>
      <c r="DW29" s="39"/>
      <c r="DX29" s="39"/>
      <c r="DY29" s="39"/>
      <c r="DZ29" s="39"/>
      <c r="EA29" s="39"/>
      <c r="EB29" s="39"/>
      <c r="EC29" s="39"/>
      <c r="ED29" s="39"/>
      <c r="EE29" s="39"/>
      <c r="EF29" s="39"/>
      <c r="EG29" s="39"/>
      <c r="EH29" s="39"/>
      <c r="EI29" s="39"/>
      <c r="EJ29" s="39"/>
      <c r="EK29" s="39"/>
      <c r="EL29" s="39"/>
      <c r="EM29" s="39"/>
      <c r="EN29" s="39"/>
      <c r="EO29" s="39"/>
    </row>
    <row r="30" spans="1:145" ht="12.95" customHeight="1">
      <c r="A30" s="40"/>
      <c r="B30" s="46" t="s">
        <v>23</v>
      </c>
      <c r="C30" s="44">
        <v>878</v>
      </c>
      <c r="D30" s="44">
        <v>986</v>
      </c>
      <c r="E30" s="44">
        <v>941</v>
      </c>
      <c r="F30" s="44">
        <v>1060</v>
      </c>
      <c r="G30" s="43">
        <v>1034</v>
      </c>
      <c r="H30" s="43">
        <v>1122</v>
      </c>
      <c r="I30" s="43">
        <v>1074</v>
      </c>
      <c r="J30" s="43">
        <f>4401-I30-H30-G30</f>
        <v>1171</v>
      </c>
      <c r="K30" s="43">
        <v>1083</v>
      </c>
      <c r="L30" s="43">
        <v>1245</v>
      </c>
      <c r="M30" s="43">
        <v>1233</v>
      </c>
      <c r="N30" s="43">
        <f>4803-M30-L30-K30</f>
        <v>1242</v>
      </c>
      <c r="O30" s="43">
        <v>1252</v>
      </c>
      <c r="P30" s="43"/>
      <c r="Q30" s="43"/>
      <c r="R30" s="43"/>
      <c r="S30" s="43"/>
      <c r="T30" s="43"/>
      <c r="U30" s="43"/>
      <c r="V30" s="43"/>
      <c r="W30" s="43">
        <v>1537</v>
      </c>
      <c r="X30" s="43">
        <v>1479</v>
      </c>
      <c r="Y30" s="43">
        <v>1436</v>
      </c>
      <c r="Z30" s="43">
        <v>1662</v>
      </c>
      <c r="AA30" s="43">
        <v>1500</v>
      </c>
      <c r="AB30" s="43">
        <f>3009-AA30</f>
        <v>1509</v>
      </c>
      <c r="AC30" s="43"/>
      <c r="AD30" s="43"/>
      <c r="AE30" s="43">
        <v>1830</v>
      </c>
      <c r="AF30" s="43">
        <v>2083</v>
      </c>
      <c r="AG30" s="43">
        <v>1842</v>
      </c>
      <c r="AH30" s="43">
        <v>2065</v>
      </c>
      <c r="AI30" s="43">
        <v>2407</v>
      </c>
      <c r="AJ30" s="43">
        <v>2158</v>
      </c>
      <c r="AK30" s="43">
        <v>2003</v>
      </c>
      <c r="AL30" s="43">
        <v>2202</v>
      </c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43"/>
      <c r="BW30" s="42"/>
      <c r="BX30" s="41"/>
      <c r="BY30" s="41"/>
      <c r="BZ30" s="41"/>
      <c r="CA30" s="41"/>
      <c r="CB30" s="41"/>
      <c r="CC30" s="41"/>
      <c r="CD30" s="41"/>
      <c r="CE30" s="41"/>
      <c r="CF30" s="41"/>
      <c r="CG30" s="41"/>
      <c r="CH30" s="43">
        <f t="shared" si="17"/>
        <v>3865</v>
      </c>
      <c r="CI30" s="43">
        <f t="shared" si="39"/>
        <v>4401</v>
      </c>
      <c r="CJ30" s="43">
        <f t="shared" ref="CJ30:CJ32" si="57">SUM(K30:N30)</f>
        <v>4803</v>
      </c>
      <c r="CK30" s="43">
        <v>5047</v>
      </c>
      <c r="CL30" s="43">
        <v>5698</v>
      </c>
      <c r="CM30" s="41"/>
      <c r="CN30" s="41"/>
      <c r="CO30" s="41"/>
      <c r="CP30" s="39"/>
      <c r="CQ30" s="45"/>
      <c r="CR30" s="45"/>
      <c r="CS30" s="45"/>
      <c r="CT30" s="45">
        <f t="shared" si="50"/>
        <v>0</v>
      </c>
      <c r="CU30" s="45">
        <f t="shared" si="51"/>
        <v>0</v>
      </c>
      <c r="CV30" s="45">
        <f t="shared" si="52"/>
        <v>0</v>
      </c>
      <c r="CW30" s="45">
        <f t="shared" si="53"/>
        <v>0</v>
      </c>
      <c r="CX30" s="45">
        <f t="shared" si="34"/>
        <v>0</v>
      </c>
      <c r="CY30" s="45">
        <f t="shared" si="2"/>
        <v>0</v>
      </c>
      <c r="CZ30" s="45"/>
      <c r="DA30" s="45"/>
      <c r="DB30" s="45"/>
      <c r="DC30" s="45"/>
      <c r="DD30" s="45"/>
      <c r="DE30" s="39"/>
      <c r="DF30" s="39"/>
      <c r="DG30" s="39"/>
      <c r="DH30" s="39"/>
      <c r="DI30" s="39"/>
      <c r="DJ30" s="39"/>
      <c r="DK30" s="39"/>
      <c r="DL30" s="39"/>
      <c r="DM30" s="39"/>
      <c r="DN30" s="39"/>
      <c r="DO30" s="39"/>
      <c r="DP30" s="39"/>
      <c r="DQ30" s="39"/>
      <c r="DR30" s="39"/>
      <c r="DS30" s="39"/>
      <c r="DT30" s="39"/>
      <c r="DU30" s="39"/>
      <c r="DV30" s="39"/>
      <c r="DW30" s="39"/>
      <c r="DX30" s="39"/>
      <c r="DY30" s="39"/>
      <c r="DZ30" s="39"/>
      <c r="EA30" s="39"/>
      <c r="EB30" s="39"/>
      <c r="EC30" s="39"/>
      <c r="ED30" s="39"/>
      <c r="EE30" s="39"/>
      <c r="EF30" s="39"/>
      <c r="EG30" s="39"/>
      <c r="EH30" s="39"/>
      <c r="EI30" s="39"/>
      <c r="EJ30" s="39"/>
      <c r="EK30" s="39"/>
      <c r="EL30" s="39"/>
      <c r="EM30" s="39"/>
      <c r="EN30" s="39"/>
      <c r="EO30" s="39"/>
    </row>
    <row r="31" spans="1:145" ht="12.95" customHeight="1">
      <c r="A31" s="40"/>
      <c r="B31" s="46" t="s">
        <v>131</v>
      </c>
      <c r="C31" s="44">
        <v>385</v>
      </c>
      <c r="D31" s="44">
        <v>391</v>
      </c>
      <c r="E31" s="44">
        <v>394</v>
      </c>
      <c r="F31" s="44">
        <v>442</v>
      </c>
      <c r="G31" s="43">
        <v>409</v>
      </c>
      <c r="H31" s="43">
        <v>435</v>
      </c>
      <c r="I31" s="43">
        <v>440</v>
      </c>
      <c r="J31" s="43">
        <f>2103-I31-H31-G31-SUM(G32:I32)</f>
        <v>545</v>
      </c>
      <c r="K31" s="43">
        <v>443</v>
      </c>
      <c r="L31" s="43">
        <v>450</v>
      </c>
      <c r="M31" s="43">
        <v>517</v>
      </c>
      <c r="N31" s="43">
        <v>482</v>
      </c>
      <c r="O31" s="43">
        <v>601</v>
      </c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3"/>
      <c r="BU31" s="43"/>
      <c r="BV31" s="43"/>
      <c r="BW31" s="42"/>
      <c r="BX31" s="41"/>
      <c r="BY31" s="41"/>
      <c r="BZ31" s="41"/>
      <c r="CA31" s="41"/>
      <c r="CB31" s="41"/>
      <c r="CC31" s="41"/>
      <c r="CD31" s="41"/>
      <c r="CE31" s="41"/>
      <c r="CF31" s="41"/>
      <c r="CG31" s="41"/>
      <c r="CH31" s="43">
        <f t="shared" si="17"/>
        <v>1612</v>
      </c>
      <c r="CI31" s="43">
        <v>1744</v>
      </c>
      <c r="CJ31" s="43">
        <f t="shared" si="57"/>
        <v>1892</v>
      </c>
      <c r="CK31" s="43">
        <v>2054</v>
      </c>
      <c r="CL31" s="43">
        <v>2163</v>
      </c>
      <c r="CM31" s="41"/>
      <c r="CN31" s="41"/>
      <c r="CO31" s="41"/>
      <c r="CP31" s="39"/>
      <c r="CQ31" s="45"/>
      <c r="CR31" s="45"/>
      <c r="CS31" s="45"/>
      <c r="CT31" s="45">
        <f t="shared" si="50"/>
        <v>0</v>
      </c>
      <c r="CU31" s="45">
        <f t="shared" si="51"/>
        <v>0</v>
      </c>
      <c r="CV31" s="45">
        <f t="shared" si="52"/>
        <v>0</v>
      </c>
      <c r="CW31" s="45">
        <f t="shared" si="53"/>
        <v>0</v>
      </c>
      <c r="CX31" s="45">
        <f t="shared" si="34"/>
        <v>0</v>
      </c>
      <c r="CY31" s="45">
        <f t="shared" si="2"/>
        <v>0</v>
      </c>
      <c r="CZ31" s="45"/>
      <c r="DA31" s="45"/>
      <c r="DB31" s="45"/>
      <c r="DC31" s="45"/>
      <c r="DD31" s="45"/>
      <c r="DE31" s="39"/>
      <c r="DF31" s="39"/>
      <c r="DG31" s="39"/>
      <c r="DH31" s="39"/>
      <c r="DI31" s="39"/>
      <c r="DJ31" s="39"/>
      <c r="DK31" s="39"/>
      <c r="DL31" s="39"/>
      <c r="DM31" s="39"/>
      <c r="DN31" s="39"/>
      <c r="DO31" s="39"/>
      <c r="DP31" s="39"/>
      <c r="DQ31" s="39"/>
      <c r="DR31" s="39"/>
      <c r="DS31" s="39"/>
      <c r="DT31" s="39"/>
      <c r="DU31" s="39"/>
      <c r="DV31" s="39"/>
      <c r="DW31" s="39"/>
      <c r="DX31" s="39"/>
      <c r="DY31" s="39"/>
      <c r="DZ31" s="39"/>
      <c r="EA31" s="39"/>
      <c r="EB31" s="39"/>
      <c r="EC31" s="39"/>
      <c r="ED31" s="39"/>
      <c r="EE31" s="39"/>
      <c r="EF31" s="39"/>
      <c r="EG31" s="39"/>
      <c r="EH31" s="39"/>
      <c r="EI31" s="39"/>
      <c r="EJ31" s="39"/>
      <c r="EK31" s="39"/>
      <c r="EL31" s="39"/>
      <c r="EM31" s="39"/>
      <c r="EN31" s="39"/>
      <c r="EO31" s="39"/>
    </row>
    <row r="32" spans="1:145" ht="12.95" customHeight="1">
      <c r="A32" s="40"/>
      <c r="B32" s="46" t="s">
        <v>132</v>
      </c>
      <c r="C32" s="44">
        <v>68</v>
      </c>
      <c r="D32" s="44">
        <v>78</v>
      </c>
      <c r="E32" s="44">
        <v>71</v>
      </c>
      <c r="F32" s="44">
        <v>107</v>
      </c>
      <c r="G32" s="43">
        <v>81</v>
      </c>
      <c r="H32" s="43">
        <v>110</v>
      </c>
      <c r="I32" s="43">
        <v>83</v>
      </c>
      <c r="J32" s="43"/>
      <c r="K32" s="43">
        <f>524-K31</f>
        <v>81</v>
      </c>
      <c r="L32" s="43">
        <v>70</v>
      </c>
      <c r="M32" s="43">
        <v>83</v>
      </c>
      <c r="N32" s="43">
        <v>107</v>
      </c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>
        <v>637</v>
      </c>
      <c r="AB32" s="43">
        <f>1408-AA32</f>
        <v>771</v>
      </c>
      <c r="AC32" s="43"/>
      <c r="AD32" s="43"/>
      <c r="AE32" s="43">
        <v>818</v>
      </c>
      <c r="AF32" s="43">
        <v>940</v>
      </c>
      <c r="AG32" s="43">
        <v>1028</v>
      </c>
      <c r="AH32" s="43">
        <v>1084</v>
      </c>
      <c r="AI32" s="43">
        <v>938</v>
      </c>
      <c r="AJ32" s="43">
        <v>972</v>
      </c>
      <c r="AK32" s="43">
        <v>957</v>
      </c>
      <c r="AL32" s="43">
        <v>722</v>
      </c>
      <c r="AM32" s="43"/>
      <c r="AN32" s="43"/>
      <c r="AO32" s="43"/>
      <c r="AP32" s="43"/>
      <c r="AQ32" s="43"/>
      <c r="AR32" s="43"/>
      <c r="AS32" s="43"/>
      <c r="AT32" s="43"/>
      <c r="AU32" s="43"/>
      <c r="AV32" s="43"/>
      <c r="AW32" s="43"/>
      <c r="AX32" s="43"/>
      <c r="AY32" s="43"/>
      <c r="AZ32" s="43"/>
      <c r="BA32" s="43"/>
      <c r="BB32" s="43"/>
      <c r="BC32" s="43"/>
      <c r="BD32" s="43"/>
      <c r="BE32" s="43"/>
      <c r="BF32" s="43"/>
      <c r="BG32" s="43"/>
      <c r="BH32" s="43"/>
      <c r="BI32" s="43"/>
      <c r="BJ32" s="43"/>
      <c r="BK32" s="43"/>
      <c r="BL32" s="43"/>
      <c r="BM32" s="43"/>
      <c r="BN32" s="43"/>
      <c r="BO32" s="43"/>
      <c r="BP32" s="43"/>
      <c r="BQ32" s="43"/>
      <c r="BR32" s="43"/>
      <c r="BS32" s="43"/>
      <c r="BT32" s="43"/>
      <c r="BU32" s="43"/>
      <c r="BV32" s="43"/>
      <c r="BW32" s="42"/>
      <c r="BX32" s="41"/>
      <c r="BY32" s="41"/>
      <c r="BZ32" s="41"/>
      <c r="CA32" s="41"/>
      <c r="CB32" s="41"/>
      <c r="CC32" s="41"/>
      <c r="CD32" s="41"/>
      <c r="CE32" s="41"/>
      <c r="CF32" s="41"/>
      <c r="CG32" s="41"/>
      <c r="CH32" s="43">
        <f t="shared" si="17"/>
        <v>324</v>
      </c>
      <c r="CI32" s="43">
        <v>359</v>
      </c>
      <c r="CJ32" s="43">
        <f t="shared" si="57"/>
        <v>341</v>
      </c>
      <c r="CK32" s="43">
        <v>473</v>
      </c>
      <c r="CL32" s="41">
        <v>345</v>
      </c>
      <c r="CM32" s="41"/>
      <c r="CN32" s="41"/>
      <c r="CO32" s="41"/>
      <c r="CP32" s="39"/>
      <c r="CQ32" s="45"/>
      <c r="CR32" s="45"/>
      <c r="CS32" s="45"/>
      <c r="CT32" s="45">
        <f t="shared" si="50"/>
        <v>0</v>
      </c>
      <c r="CU32" s="45">
        <f t="shared" si="51"/>
        <v>0</v>
      </c>
      <c r="CV32" s="45">
        <f t="shared" si="52"/>
        <v>0</v>
      </c>
      <c r="CW32" s="45">
        <f t="shared" si="53"/>
        <v>0</v>
      </c>
      <c r="CX32" s="45">
        <f>SUM(BO32:BR32)</f>
        <v>0</v>
      </c>
      <c r="CY32" s="45">
        <f t="shared" si="2"/>
        <v>0</v>
      </c>
      <c r="CZ32" s="45"/>
      <c r="DA32" s="45"/>
      <c r="DB32" s="45"/>
      <c r="DC32" s="45"/>
      <c r="DD32" s="45"/>
      <c r="DE32" s="39"/>
      <c r="DF32" s="39"/>
      <c r="DG32" s="39"/>
      <c r="DH32" s="39"/>
      <c r="DI32" s="39"/>
      <c r="DJ32" s="39"/>
      <c r="DK32" s="39"/>
      <c r="DL32" s="39"/>
      <c r="DM32" s="39"/>
      <c r="DN32" s="39"/>
      <c r="DO32" s="39"/>
      <c r="DP32" s="39"/>
      <c r="DQ32" s="39"/>
      <c r="DR32" s="39"/>
      <c r="DS32" s="39"/>
      <c r="DT32" s="39"/>
      <c r="DU32" s="39"/>
      <c r="DV32" s="39"/>
      <c r="DW32" s="39"/>
      <c r="DX32" s="39"/>
      <c r="DY32" s="39"/>
      <c r="DZ32" s="39"/>
      <c r="EA32" s="39"/>
      <c r="EB32" s="39"/>
      <c r="EC32" s="39"/>
      <c r="ED32" s="39"/>
      <c r="EE32" s="39"/>
      <c r="EF32" s="39"/>
      <c r="EG32" s="39"/>
      <c r="EH32" s="39"/>
      <c r="EI32" s="39"/>
      <c r="EJ32" s="39"/>
      <c r="EK32" s="39"/>
      <c r="EL32" s="39"/>
      <c r="EM32" s="39"/>
      <c r="EN32" s="39"/>
      <c r="EO32" s="39"/>
    </row>
    <row r="33" spans="1:145" s="12" customFormat="1" ht="12.95" customHeight="1">
      <c r="A33" s="8"/>
      <c r="B33" s="9" t="s">
        <v>199</v>
      </c>
      <c r="C33" s="15">
        <f t="shared" ref="C33:O33" si="58">SUM(C11:C32)</f>
        <v>10614</v>
      </c>
      <c r="D33" s="15">
        <f t="shared" si="58"/>
        <v>11110</v>
      </c>
      <c r="E33" s="15">
        <f t="shared" si="58"/>
        <v>11246</v>
      </c>
      <c r="F33" s="15">
        <f t="shared" si="58"/>
        <v>12583</v>
      </c>
      <c r="G33" s="15">
        <f t="shared" si="58"/>
        <v>12498</v>
      </c>
      <c r="H33" s="15">
        <f t="shared" si="58"/>
        <v>13001</v>
      </c>
      <c r="I33" s="15">
        <f t="shared" si="58"/>
        <v>12545</v>
      </c>
      <c r="J33" s="15">
        <f t="shared" si="58"/>
        <v>13121</v>
      </c>
      <c r="K33" s="15">
        <f t="shared" si="58"/>
        <v>13674</v>
      </c>
      <c r="L33" s="15">
        <f t="shared" si="58"/>
        <v>15394</v>
      </c>
      <c r="M33" s="15">
        <f t="shared" si="58"/>
        <v>15584</v>
      </c>
      <c r="N33" s="15">
        <f t="shared" si="58"/>
        <v>16124</v>
      </c>
      <c r="O33" s="15">
        <f t="shared" si="58"/>
        <v>15693</v>
      </c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>
        <f>SUM(AA11:AA32)</f>
        <v>20343</v>
      </c>
      <c r="AB33" s="15">
        <f>SUM(AB11:AB32)</f>
        <v>21629</v>
      </c>
      <c r="AC33" s="15">
        <f t="shared" ref="AC33:AL33" si="59">SUM(AC11:AC32)</f>
        <v>0</v>
      </c>
      <c r="AD33" s="15">
        <f t="shared" si="59"/>
        <v>0</v>
      </c>
      <c r="AE33" s="15">
        <f t="shared" si="59"/>
        <v>24929</v>
      </c>
      <c r="AF33" s="15">
        <f t="shared" si="59"/>
        <v>26729</v>
      </c>
      <c r="AG33" s="15">
        <f t="shared" si="59"/>
        <v>26416</v>
      </c>
      <c r="AH33" s="15">
        <f t="shared" si="59"/>
        <v>28415</v>
      </c>
      <c r="AI33" s="15">
        <f t="shared" si="59"/>
        <v>26586</v>
      </c>
      <c r="AJ33" s="15">
        <f t="shared" si="59"/>
        <v>26476</v>
      </c>
      <c r="AK33" s="15">
        <f t="shared" si="59"/>
        <v>26394</v>
      </c>
      <c r="AL33" s="15">
        <f t="shared" si="59"/>
        <v>27865</v>
      </c>
      <c r="AM33" s="15">
        <v>28452</v>
      </c>
      <c r="AN33" s="15">
        <v>28638</v>
      </c>
      <c r="AO33" s="15">
        <v>26614</v>
      </c>
      <c r="AP33" s="15">
        <v>27992</v>
      </c>
      <c r="AQ33" s="15">
        <f>SUM(AQ13:AQ32)</f>
        <v>26930</v>
      </c>
      <c r="AR33" s="15">
        <f>SUM(AR13:AR32)</f>
        <v>27407</v>
      </c>
      <c r="AS33" s="15">
        <f>SUM(AS13:AS32)</f>
        <v>27762</v>
      </c>
      <c r="AT33" s="15">
        <f>SUM(AT13:AT32)</f>
        <v>29732</v>
      </c>
      <c r="AU33" s="15">
        <f t="shared" ref="AU33:BI33" si="60">SUM(AU13:AU29)</f>
        <v>29291</v>
      </c>
      <c r="AV33" s="15">
        <f t="shared" si="60"/>
        <v>30036</v>
      </c>
      <c r="AW33" s="15">
        <f t="shared" si="60"/>
        <v>30277</v>
      </c>
      <c r="AX33" s="15">
        <f t="shared" si="60"/>
        <v>32417</v>
      </c>
      <c r="AY33" s="15">
        <f>SUM(AY13:AY29)</f>
        <v>33875</v>
      </c>
      <c r="AZ33" s="15">
        <f t="shared" si="60"/>
        <v>30006</v>
      </c>
      <c r="BA33" s="15">
        <f t="shared" si="60"/>
        <v>30927</v>
      </c>
      <c r="BB33" s="15">
        <f t="shared" si="60"/>
        <v>32138</v>
      </c>
      <c r="BC33" s="15">
        <f t="shared" si="60"/>
        <v>33804</v>
      </c>
      <c r="BD33" s="15">
        <f t="shared" si="60"/>
        <v>33041</v>
      </c>
      <c r="BE33" s="15">
        <f t="shared" si="60"/>
        <v>35622</v>
      </c>
      <c r="BF33" s="15">
        <f t="shared" si="60"/>
        <v>38333</v>
      </c>
      <c r="BG33" s="15">
        <f t="shared" si="60"/>
        <v>42031</v>
      </c>
      <c r="BH33" s="15">
        <f t="shared" si="60"/>
        <v>41265</v>
      </c>
      <c r="BI33" s="15">
        <f t="shared" si="60"/>
        <v>45566</v>
      </c>
      <c r="BJ33" s="15">
        <f t="shared" ref="BJ33:BV33" si="61">SUM(BJ13:BJ29)</f>
        <v>48092</v>
      </c>
      <c r="BK33" s="15">
        <f t="shared" si="61"/>
        <v>53367</v>
      </c>
      <c r="BL33" s="15">
        <f t="shared" si="61"/>
        <v>54300</v>
      </c>
      <c r="BM33" s="15">
        <f t="shared" si="61"/>
        <v>58731</v>
      </c>
      <c r="BN33" s="15">
        <f t="shared" si="61"/>
        <v>65863</v>
      </c>
      <c r="BO33" s="15">
        <f t="shared" si="61"/>
        <v>65349</v>
      </c>
      <c r="BP33" s="15">
        <f>SUM(BP13:BP29)</f>
        <v>68060</v>
      </c>
      <c r="BQ33" s="15">
        <f t="shared" si="61"/>
        <v>71311</v>
      </c>
      <c r="BR33" s="15">
        <f>SUM(BR13:BR29)</f>
        <v>85683</v>
      </c>
      <c r="BS33" s="15">
        <f t="shared" si="61"/>
        <v>78794.649999999994</v>
      </c>
      <c r="BT33" s="15">
        <f t="shared" si="61"/>
        <v>83718.720000000001</v>
      </c>
      <c r="BU33" s="15">
        <f t="shared" si="61"/>
        <v>87202.59</v>
      </c>
      <c r="BV33" s="15">
        <f t="shared" si="61"/>
        <v>101869.47000000002</v>
      </c>
      <c r="BW33" s="13"/>
      <c r="BX33" s="13">
        <v>13647</v>
      </c>
      <c r="BY33" s="13">
        <v>16423</v>
      </c>
      <c r="BZ33" s="13">
        <v>20485</v>
      </c>
      <c r="CA33" s="13">
        <v>23385</v>
      </c>
      <c r="CB33" s="13">
        <v>24866</v>
      </c>
      <c r="CC33" s="13"/>
      <c r="CD33" s="13"/>
      <c r="CE33" s="13"/>
      <c r="CF33" s="13"/>
      <c r="CG33" s="13"/>
      <c r="CH33" s="13">
        <f>SUM(CH11:CH32)</f>
        <v>45553</v>
      </c>
      <c r="CI33" s="13">
        <f>SUM(CI11:CI32)</f>
        <v>51165</v>
      </c>
      <c r="CJ33" s="13">
        <f>SUM(CJ11:CJ32)</f>
        <v>60776</v>
      </c>
      <c r="CK33" s="13">
        <f>SUM(CK11:CK32)</f>
        <v>66346</v>
      </c>
      <c r="CL33" s="13">
        <f>SUM(CL11:CL32)</f>
        <v>78026</v>
      </c>
      <c r="CM33" s="13">
        <v>83572</v>
      </c>
      <c r="CN33" s="13">
        <v>88806</v>
      </c>
      <c r="CO33" s="57">
        <v>107927</v>
      </c>
      <c r="CP33" s="57">
        <v>111780</v>
      </c>
      <c r="CQ33" s="57">
        <v>111696</v>
      </c>
      <c r="CR33" s="57">
        <v>111831</v>
      </c>
      <c r="CS33" s="57">
        <v>122021</v>
      </c>
      <c r="CT33" s="57">
        <f>SUM(CT13:CT32)</f>
        <v>126946</v>
      </c>
      <c r="CU33" s="57">
        <f>SUM(CU13:CU32)</f>
        <v>140800</v>
      </c>
      <c r="CV33" s="57">
        <f>SUM(CV13:CV32)</f>
        <v>176954</v>
      </c>
      <c r="CW33" s="57">
        <f>SUM(CW13:CW32)</f>
        <v>232261</v>
      </c>
      <c r="CX33" s="57">
        <f>SUM(CX13:CX32)</f>
        <v>290403</v>
      </c>
      <c r="CY33" s="57">
        <f>SUM(BS33:BV33)</f>
        <v>351585.43</v>
      </c>
      <c r="CZ33" s="57">
        <f t="shared" ref="CZ33:DI33" si="62">SUM(CZ3:CZ32)</f>
        <v>425495.4535</v>
      </c>
      <c r="DA33" s="57">
        <f t="shared" si="62"/>
        <v>513700.28282500012</v>
      </c>
      <c r="DB33" s="57">
        <f t="shared" si="62"/>
        <v>591151.45218375011</v>
      </c>
      <c r="DC33" s="57">
        <f t="shared" si="62"/>
        <v>676512.50355706259</v>
      </c>
      <c r="DD33" s="57">
        <f t="shared" si="62"/>
        <v>751482.05480245943</v>
      </c>
      <c r="DE33" s="57">
        <f t="shared" si="62"/>
        <v>593894.51671571145</v>
      </c>
      <c r="DF33" s="57">
        <f t="shared" si="62"/>
        <v>486758.31691488833</v>
      </c>
      <c r="DG33" s="57">
        <f t="shared" si="62"/>
        <v>422185.71391569765</v>
      </c>
      <c r="DH33" s="57">
        <f t="shared" si="62"/>
        <v>381851.62291016435</v>
      </c>
      <c r="DI33" s="57">
        <f t="shared" si="62"/>
        <v>350013.25860596349</v>
      </c>
    </row>
    <row r="34" spans="1:145" ht="12.95" customHeight="1">
      <c r="A34" s="40"/>
      <c r="B34" s="46" t="s">
        <v>133</v>
      </c>
      <c r="C34" s="43">
        <f t="shared" ref="C34:J34" si="63">C33-C35</f>
        <v>2413</v>
      </c>
      <c r="D34" s="43">
        <f t="shared" si="63"/>
        <v>2554</v>
      </c>
      <c r="E34" s="43">
        <f t="shared" si="63"/>
        <v>2606</v>
      </c>
      <c r="F34" s="43">
        <f t="shared" si="63"/>
        <v>2536</v>
      </c>
      <c r="G34" s="43">
        <f t="shared" si="63"/>
        <v>2508</v>
      </c>
      <c r="H34" s="43">
        <f t="shared" si="63"/>
        <v>2610</v>
      </c>
      <c r="I34" s="43">
        <f t="shared" si="63"/>
        <v>2713</v>
      </c>
      <c r="J34" s="43">
        <f t="shared" si="63"/>
        <v>2694</v>
      </c>
      <c r="K34" s="43">
        <f>+K33-K35</f>
        <v>2690</v>
      </c>
      <c r="L34" s="43">
        <f>+L33-L35</f>
        <v>2969</v>
      </c>
      <c r="M34" s="43">
        <f>+M33-M35</f>
        <v>2936</v>
      </c>
      <c r="N34" s="43">
        <f>+N33-N35</f>
        <v>3224.7999999999993</v>
      </c>
      <c r="O34" s="43">
        <f>O33-O35</f>
        <v>3117</v>
      </c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>
        <f>+AB33-AB35</f>
        <v>3671</v>
      </c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>
        <v>4197</v>
      </c>
      <c r="AR34" s="43">
        <v>4352</v>
      </c>
      <c r="AS34" s="43">
        <v>4415</v>
      </c>
      <c r="AT34" s="43">
        <f>+AT33-AT35</f>
        <v>4653</v>
      </c>
      <c r="AU34" s="43">
        <v>4732</v>
      </c>
      <c r="AV34" s="43">
        <v>4849</v>
      </c>
      <c r="AW34" s="43">
        <v>5075</v>
      </c>
      <c r="AX34" s="43">
        <f>+AX33-AX35</f>
        <v>5432</v>
      </c>
      <c r="AY34" s="43">
        <f t="shared" ref="AY34:BB34" si="64">AY33-AY35</f>
        <v>5386</v>
      </c>
      <c r="AZ34" s="43">
        <f t="shared" si="64"/>
        <v>4772</v>
      </c>
      <c r="BA34" s="43">
        <f t="shared" si="64"/>
        <v>5155</v>
      </c>
      <c r="BB34" s="43">
        <f t="shared" si="64"/>
        <v>5619</v>
      </c>
      <c r="BC34" s="43">
        <f>BC33-BC35</f>
        <v>5811</v>
      </c>
      <c r="BD34" s="43">
        <v>5547</v>
      </c>
      <c r="BE34" s="43">
        <f>+BE33-BE35</f>
        <v>6059</v>
      </c>
      <c r="BF34" s="44">
        <f>+BF33-BF35</f>
        <v>6241</v>
      </c>
      <c r="BG34" s="43">
        <f>BG33-BG35</f>
        <v>6917</v>
      </c>
      <c r="BH34" s="43">
        <v>6069</v>
      </c>
      <c r="BI34" s="43">
        <v>7200</v>
      </c>
      <c r="BJ34" s="43">
        <f t="shared" ref="BJ34" si="65">+BJ33-BJ35</f>
        <v>8262</v>
      </c>
      <c r="BK34" s="43">
        <f t="shared" ref="BK34:BR34" si="66">+BK33-BK35</f>
        <v>8182</v>
      </c>
      <c r="BL34" s="43">
        <f t="shared" si="66"/>
        <v>7856</v>
      </c>
      <c r="BM34" s="43">
        <f t="shared" si="66"/>
        <v>9713</v>
      </c>
      <c r="BN34" s="43">
        <f t="shared" si="66"/>
        <v>10014</v>
      </c>
      <c r="BO34" s="43">
        <f t="shared" si="66"/>
        <v>9916</v>
      </c>
      <c r="BP34" s="43">
        <v>10274</v>
      </c>
      <c r="BQ34" s="43">
        <f t="shared" si="66"/>
        <v>11308</v>
      </c>
      <c r="BR34" s="43">
        <f t="shared" si="66"/>
        <v>12852.449999999997</v>
      </c>
      <c r="BS34" s="43"/>
      <c r="BT34" s="43"/>
      <c r="BU34" s="43"/>
      <c r="BV34" s="43"/>
      <c r="BW34" s="43"/>
      <c r="BX34" s="43">
        <v>-3751</v>
      </c>
      <c r="BY34" s="43">
        <v>-4227</v>
      </c>
      <c r="BZ34" s="43">
        <f>BZ35-BZ33</f>
        <v>-5016</v>
      </c>
      <c r="CA34" s="43">
        <f>CA35-CA33</f>
        <v>-6036</v>
      </c>
      <c r="CB34" s="43">
        <f>CB35-CB33</f>
        <v>-6598</v>
      </c>
      <c r="CC34" s="43"/>
      <c r="CD34" s="43"/>
      <c r="CE34" s="43"/>
      <c r="CF34" s="43"/>
      <c r="CG34" s="43"/>
      <c r="CH34" s="43"/>
      <c r="CI34" s="43">
        <f>SUM(G34:J34)</f>
        <v>10525</v>
      </c>
      <c r="CJ34" s="43">
        <v>11680</v>
      </c>
      <c r="CK34" s="43">
        <v>12589</v>
      </c>
      <c r="CL34" s="43">
        <v>13465</v>
      </c>
      <c r="CM34" s="43"/>
      <c r="CN34" s="43">
        <v>14562</v>
      </c>
      <c r="CO34" s="43">
        <v>16188</v>
      </c>
      <c r="CP34" s="45">
        <v>17183</v>
      </c>
      <c r="CQ34" s="45"/>
      <c r="CR34" s="45"/>
      <c r="CS34" s="45">
        <f>+CS33-CS35</f>
        <v>20088</v>
      </c>
      <c r="CT34" s="45">
        <f>+CT33-CT35</f>
        <v>20932</v>
      </c>
      <c r="CU34" s="45">
        <f t="shared" si="51"/>
        <v>23658</v>
      </c>
      <c r="CV34" s="45">
        <f t="shared" si="52"/>
        <v>28448</v>
      </c>
      <c r="CW34" s="45">
        <f t="shared" si="53"/>
        <v>35765</v>
      </c>
      <c r="CX34" s="45">
        <f t="shared" ref="CX34" si="67">SUM(BO34:BR34)</f>
        <v>44350.45</v>
      </c>
      <c r="CY34" s="45">
        <f>+CY33-CY35</f>
        <v>52737.814499999979</v>
      </c>
      <c r="CZ34" s="45">
        <f t="shared" ref="CZ34:DD34" si="68">+CZ33-CZ35</f>
        <v>63824.318024999986</v>
      </c>
      <c r="DA34" s="45">
        <f t="shared" si="68"/>
        <v>77055.042423750041</v>
      </c>
      <c r="DB34" s="45">
        <f t="shared" si="68"/>
        <v>88672.717827562534</v>
      </c>
      <c r="DC34" s="45">
        <f t="shared" si="68"/>
        <v>101476.87553355936</v>
      </c>
      <c r="DD34" s="45">
        <f t="shared" si="68"/>
        <v>112722.30822036893</v>
      </c>
      <c r="DE34" s="45">
        <f t="shared" ref="DE34:DI34" si="69">+DE33-DE35</f>
        <v>89084.177507356741</v>
      </c>
      <c r="DF34" s="45">
        <f t="shared" si="69"/>
        <v>73013.747537233285</v>
      </c>
      <c r="DG34" s="45">
        <f t="shared" si="69"/>
        <v>63327.857087354641</v>
      </c>
      <c r="DH34" s="45">
        <f t="shared" si="69"/>
        <v>57277.743436524644</v>
      </c>
      <c r="DI34" s="45">
        <f t="shared" si="69"/>
        <v>52501.988790894509</v>
      </c>
      <c r="DJ34" s="39"/>
      <c r="DK34" s="39"/>
      <c r="DL34" s="39"/>
      <c r="DM34" s="39"/>
      <c r="DN34" s="39"/>
      <c r="DO34" s="39"/>
      <c r="DP34" s="39"/>
      <c r="DQ34" s="39"/>
      <c r="DR34" s="39"/>
      <c r="DS34" s="39"/>
      <c r="DT34" s="39"/>
      <c r="DU34" s="39"/>
      <c r="DV34" s="39"/>
      <c r="DW34" s="39"/>
      <c r="DX34" s="39"/>
      <c r="DY34" s="39"/>
      <c r="DZ34" s="39"/>
      <c r="EA34" s="39"/>
      <c r="EB34" s="39"/>
      <c r="EC34" s="39"/>
      <c r="ED34" s="39"/>
      <c r="EE34" s="39"/>
      <c r="EF34" s="39"/>
      <c r="EG34" s="39"/>
      <c r="EH34" s="39"/>
      <c r="EI34" s="39"/>
      <c r="EJ34" s="39"/>
      <c r="EK34" s="39"/>
      <c r="EL34" s="39"/>
      <c r="EM34" s="39"/>
      <c r="EN34" s="39"/>
      <c r="EO34" s="39"/>
    </row>
    <row r="35" spans="1:145" ht="12.95" customHeight="1">
      <c r="A35" s="40"/>
      <c r="B35" s="46" t="s">
        <v>134</v>
      </c>
      <c r="C35" s="43">
        <v>8201</v>
      </c>
      <c r="D35" s="43">
        <v>8556</v>
      </c>
      <c r="E35" s="43">
        <v>8640</v>
      </c>
      <c r="F35" s="43">
        <v>10047</v>
      </c>
      <c r="G35" s="43">
        <v>9990</v>
      </c>
      <c r="H35" s="43">
        <v>10391</v>
      </c>
      <c r="I35" s="43">
        <v>9832</v>
      </c>
      <c r="J35" s="43">
        <v>10427</v>
      </c>
      <c r="K35" s="43">
        <v>10984</v>
      </c>
      <c r="L35" s="43">
        <v>12425</v>
      </c>
      <c r="M35" s="43">
        <v>12648</v>
      </c>
      <c r="N35" s="43">
        <f>+N33*0.8</f>
        <v>12899.2</v>
      </c>
      <c r="O35" s="43">
        <v>12576</v>
      </c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>
        <v>17958</v>
      </c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>
        <f>+AQ33-AQ34</f>
        <v>22733</v>
      </c>
      <c r="AR35" s="43">
        <f>+AR33-AR34</f>
        <v>23055</v>
      </c>
      <c r="AS35" s="43">
        <f>+AS33-AS34</f>
        <v>23347</v>
      </c>
      <c r="AT35" s="43">
        <v>25079</v>
      </c>
      <c r="AU35" s="43">
        <f>+AU33-AU34</f>
        <v>24559</v>
      </c>
      <c r="AV35" s="43">
        <f>+AV33-AV34</f>
        <v>25187</v>
      </c>
      <c r="AW35" s="43">
        <f>+AW33-AW34</f>
        <v>25202</v>
      </c>
      <c r="AX35" s="43">
        <v>26985</v>
      </c>
      <c r="AY35" s="43">
        <v>28489</v>
      </c>
      <c r="AZ35" s="43">
        <v>25234</v>
      </c>
      <c r="BA35" s="43">
        <v>25772</v>
      </c>
      <c r="BB35" s="43">
        <v>26519</v>
      </c>
      <c r="BC35" s="43">
        <v>27993</v>
      </c>
      <c r="BD35" s="43">
        <f>+BD33-BD34</f>
        <v>27494</v>
      </c>
      <c r="BE35" s="43">
        <v>29563</v>
      </c>
      <c r="BF35" s="43">
        <v>32092</v>
      </c>
      <c r="BG35" s="43">
        <v>35114</v>
      </c>
      <c r="BH35" s="43">
        <f>+BH33-BH34</f>
        <v>35196</v>
      </c>
      <c r="BI35" s="43">
        <f>+BI33-BI34</f>
        <v>38366</v>
      </c>
      <c r="BJ35" s="43">
        <v>39830</v>
      </c>
      <c r="BK35" s="43">
        <v>45185</v>
      </c>
      <c r="BL35" s="43">
        <v>46444</v>
      </c>
      <c r="BM35" s="43">
        <v>49018</v>
      </c>
      <c r="BN35" s="43">
        <v>55849</v>
      </c>
      <c r="BO35" s="43">
        <v>55433</v>
      </c>
      <c r="BP35" s="43">
        <f>+BP33-BP34</f>
        <v>57786</v>
      </c>
      <c r="BQ35" s="43">
        <v>60003</v>
      </c>
      <c r="BR35" s="43">
        <f>+BR33*0.85</f>
        <v>72830.55</v>
      </c>
      <c r="BS35" s="43"/>
      <c r="BT35" s="43"/>
      <c r="BU35" s="43"/>
      <c r="BV35" s="43"/>
      <c r="BW35" s="43"/>
      <c r="BX35" s="43">
        <f>BX33+BX34</f>
        <v>9896</v>
      </c>
      <c r="BY35" s="43">
        <f>BY33+BY34</f>
        <v>12196</v>
      </c>
      <c r="BZ35" s="43">
        <v>15469</v>
      </c>
      <c r="CA35" s="43">
        <v>17349</v>
      </c>
      <c r="CB35" s="43">
        <v>18268</v>
      </c>
      <c r="CC35" s="43"/>
      <c r="CD35" s="43"/>
      <c r="CE35" s="43"/>
      <c r="CF35" s="43"/>
      <c r="CG35" s="43"/>
      <c r="CH35" s="43"/>
      <c r="CI35" s="43">
        <f>CI33-CI34</f>
        <v>40640</v>
      </c>
      <c r="CJ35" s="43">
        <f>+CJ33-CJ34</f>
        <v>49096</v>
      </c>
      <c r="CK35" s="43">
        <f>+CK33-CK34</f>
        <v>53757</v>
      </c>
      <c r="CL35" s="43">
        <f>+CL33-CL34</f>
        <v>64561</v>
      </c>
      <c r="CM35" s="43"/>
      <c r="CN35" s="43">
        <f>+CN33-CN34</f>
        <v>74244</v>
      </c>
      <c r="CO35" s="43">
        <f>+CO33-CO34</f>
        <v>91739</v>
      </c>
      <c r="CP35" s="45">
        <f>+CP33-CP34</f>
        <v>94597</v>
      </c>
      <c r="CQ35" s="45">
        <v>94064</v>
      </c>
      <c r="CR35" s="45">
        <v>94214</v>
      </c>
      <c r="CS35" s="45">
        <v>101933</v>
      </c>
      <c r="CT35" s="45">
        <v>106014</v>
      </c>
      <c r="CU35" s="45">
        <f>+CU33-CU34</f>
        <v>117142</v>
      </c>
      <c r="CV35" s="45">
        <v>148506</v>
      </c>
      <c r="CW35" s="45">
        <f>+CW33-CW34</f>
        <v>196496</v>
      </c>
      <c r="CX35" s="45">
        <f>+CX33-CX34</f>
        <v>246052.55</v>
      </c>
      <c r="CY35" s="45">
        <f>+CY33*0.85</f>
        <v>298847.61550000001</v>
      </c>
      <c r="CZ35" s="45">
        <f t="shared" ref="CZ35:DD35" si="70">+CZ33*0.85</f>
        <v>361671.13547500002</v>
      </c>
      <c r="DA35" s="45">
        <f t="shared" si="70"/>
        <v>436645.24040125008</v>
      </c>
      <c r="DB35" s="45">
        <f t="shared" si="70"/>
        <v>502478.73435618758</v>
      </c>
      <c r="DC35" s="45">
        <f t="shared" si="70"/>
        <v>575035.62802350323</v>
      </c>
      <c r="DD35" s="45">
        <f t="shared" si="70"/>
        <v>638759.74658209051</v>
      </c>
      <c r="DE35" s="45">
        <f t="shared" ref="DE35:DI35" si="71">+DE33*0.85</f>
        <v>504810.33920835471</v>
      </c>
      <c r="DF35" s="45">
        <f t="shared" si="71"/>
        <v>413744.56937765505</v>
      </c>
      <c r="DG35" s="45">
        <f t="shared" si="71"/>
        <v>358857.85682834301</v>
      </c>
      <c r="DH35" s="45">
        <f t="shared" si="71"/>
        <v>324573.87947363971</v>
      </c>
      <c r="DI35" s="45">
        <f t="shared" si="71"/>
        <v>297511.26981506898</v>
      </c>
      <c r="DJ35" s="39"/>
      <c r="DK35" s="39"/>
      <c r="DL35" s="39"/>
      <c r="DM35" s="39"/>
      <c r="DN35" s="39"/>
      <c r="DO35" s="39"/>
      <c r="DP35" s="39"/>
      <c r="DQ35" s="39"/>
      <c r="DR35" s="39"/>
      <c r="DS35" s="39"/>
      <c r="DT35" s="39"/>
      <c r="DU35" s="39"/>
      <c r="DV35" s="39"/>
      <c r="DW35" s="39"/>
      <c r="DX35" s="39"/>
      <c r="DY35" s="39"/>
      <c r="DZ35" s="39"/>
      <c r="EA35" s="39"/>
      <c r="EB35" s="39"/>
      <c r="EC35" s="39"/>
      <c r="ED35" s="39"/>
      <c r="EE35" s="39"/>
      <c r="EF35" s="39"/>
      <c r="EG35" s="39"/>
      <c r="EH35" s="39"/>
      <c r="EI35" s="39"/>
      <c r="EJ35" s="39"/>
      <c r="EK35" s="39"/>
      <c r="EL35" s="39"/>
      <c r="EM35" s="39"/>
      <c r="EN35" s="39"/>
      <c r="EO35" s="39"/>
    </row>
    <row r="36" spans="1:145" ht="12.95" customHeight="1">
      <c r="A36" s="40"/>
      <c r="B36" s="46" t="s">
        <v>135</v>
      </c>
      <c r="C36" s="43">
        <v>2975</v>
      </c>
      <c r="D36" s="43">
        <v>3178</v>
      </c>
      <c r="E36" s="43">
        <v>3155</v>
      </c>
      <c r="F36" s="43">
        <v>3558</v>
      </c>
      <c r="G36" s="43">
        <v>3844</v>
      </c>
      <c r="H36" s="43">
        <v>3837</v>
      </c>
      <c r="I36" s="43">
        <v>3502</v>
      </c>
      <c r="J36" s="43">
        <v>4237</v>
      </c>
      <c r="K36" s="43">
        <v>3984</v>
      </c>
      <c r="L36" s="43">
        <v>4364</v>
      </c>
      <c r="M36" s="43">
        <v>4573</v>
      </c>
      <c r="N36" s="43">
        <f>+M36</f>
        <v>4573</v>
      </c>
      <c r="O36" s="43">
        <v>4260</v>
      </c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  <c r="AA36" s="43"/>
      <c r="AB36" s="43">
        <v>5559</v>
      </c>
      <c r="AC36" s="43"/>
      <c r="AD36" s="43"/>
      <c r="AE36" s="43"/>
      <c r="AF36" s="43"/>
      <c r="AG36" s="43"/>
      <c r="AH36" s="43"/>
      <c r="AI36" s="43"/>
      <c r="AJ36" s="43"/>
      <c r="AK36" s="43"/>
      <c r="AL36" s="43"/>
      <c r="AM36" s="43"/>
      <c r="AN36" s="43"/>
      <c r="AO36" s="43"/>
      <c r="AP36" s="43"/>
      <c r="AQ36" s="43">
        <v>6451</v>
      </c>
      <c r="AR36" s="43">
        <v>7090</v>
      </c>
      <c r="AS36" s="43">
        <v>7128</v>
      </c>
      <c r="AT36" s="43">
        <v>8728</v>
      </c>
      <c r="AU36" s="43">
        <v>6946</v>
      </c>
      <c r="AV36" s="43">
        <v>7580</v>
      </c>
      <c r="AW36" s="43">
        <v>7761</v>
      </c>
      <c r="AX36" s="43">
        <v>9536</v>
      </c>
      <c r="AY36" s="43">
        <v>7590</v>
      </c>
      <c r="AZ36" s="43">
        <v>7398</v>
      </c>
      <c r="BA36" s="43">
        <v>8174</v>
      </c>
      <c r="BB36" s="43">
        <v>9766</v>
      </c>
      <c r="BC36" s="43">
        <v>8256</v>
      </c>
      <c r="BD36" s="43">
        <v>8001</v>
      </c>
      <c r="BE36" s="43">
        <v>9119</v>
      </c>
      <c r="BF36" s="43">
        <v>11632</v>
      </c>
      <c r="BG36" s="43">
        <v>10183</v>
      </c>
      <c r="BH36" s="43">
        <v>10840</v>
      </c>
      <c r="BI36" s="43">
        <v>11451</v>
      </c>
      <c r="BJ36" s="43">
        <v>13743</v>
      </c>
      <c r="BK36" s="43">
        <v>12412</v>
      </c>
      <c r="BL36" s="43">
        <v>14342</v>
      </c>
      <c r="BM36" s="43">
        <v>12819</v>
      </c>
      <c r="BN36" s="43">
        <v>17170</v>
      </c>
      <c r="BO36" s="43">
        <v>13256</v>
      </c>
      <c r="BP36" s="43">
        <v>14934</v>
      </c>
      <c r="BQ36" s="43">
        <v>15210</v>
      </c>
      <c r="BR36" s="43">
        <f t="shared" ref="BR36:BR38" si="72">+BN36*1.1</f>
        <v>18887</v>
      </c>
      <c r="BS36" s="43"/>
      <c r="BT36" s="43"/>
      <c r="BU36" s="43"/>
      <c r="BV36" s="43"/>
      <c r="BW36" s="43"/>
      <c r="BX36" s="43">
        <v>-4212</v>
      </c>
      <c r="BY36" s="43">
        <v>-4812</v>
      </c>
      <c r="BZ36" s="43">
        <v>-6013</v>
      </c>
      <c r="CA36" s="43">
        <v>-6951</v>
      </c>
      <c r="CB36" s="43">
        <v>-7187</v>
      </c>
      <c r="CC36" s="43"/>
      <c r="CD36" s="43"/>
      <c r="CE36" s="43"/>
      <c r="CF36" s="43"/>
      <c r="CG36" s="43"/>
      <c r="CH36" s="43"/>
      <c r="CI36" s="43">
        <f>SUM(G36:J36)</f>
        <v>15420</v>
      </c>
      <c r="CJ36" s="43">
        <v>18195</v>
      </c>
      <c r="CK36" s="43">
        <v>19004</v>
      </c>
      <c r="CL36" s="43">
        <v>21544</v>
      </c>
      <c r="CM36" s="43"/>
      <c r="CN36" s="43">
        <v>23223</v>
      </c>
      <c r="CO36" s="43">
        <v>28312</v>
      </c>
      <c r="CP36" s="45">
        <v>28377</v>
      </c>
      <c r="CQ36" s="45">
        <v>28340</v>
      </c>
      <c r="CR36" s="45">
        <v>29397</v>
      </c>
      <c r="CS36" s="45">
        <v>31823</v>
      </c>
      <c r="CT36" s="45">
        <v>32928</v>
      </c>
      <c r="CU36" s="45">
        <f t="shared" si="51"/>
        <v>37008</v>
      </c>
      <c r="CV36" s="45">
        <f t="shared" si="52"/>
        <v>46217</v>
      </c>
      <c r="CW36" s="45">
        <f t="shared" ref="CW36:CW39" si="73">SUM(BK36:BN36)</f>
        <v>56743</v>
      </c>
      <c r="CX36" s="45">
        <f t="shared" ref="CX36:CX39" si="74">SUM(BO36:BR36)</f>
        <v>62287</v>
      </c>
      <c r="CY36" s="45">
        <f>+CX36</f>
        <v>62287</v>
      </c>
      <c r="CZ36" s="45">
        <f t="shared" ref="CZ36:DD36" si="75">+CY36</f>
        <v>62287</v>
      </c>
      <c r="DA36" s="45">
        <f t="shared" si="75"/>
        <v>62287</v>
      </c>
      <c r="DB36" s="45">
        <f t="shared" si="75"/>
        <v>62287</v>
      </c>
      <c r="DC36" s="45">
        <f t="shared" si="75"/>
        <v>62287</v>
      </c>
      <c r="DD36" s="45">
        <f t="shared" si="75"/>
        <v>62287</v>
      </c>
      <c r="DE36" s="45">
        <f t="shared" ref="DE36" si="76">+DD36</f>
        <v>62287</v>
      </c>
      <c r="DF36" s="45">
        <f t="shared" ref="DF36" si="77">+DE36</f>
        <v>62287</v>
      </c>
      <c r="DG36" s="45">
        <f t="shared" ref="DG36" si="78">+DF36</f>
        <v>62287</v>
      </c>
      <c r="DH36" s="45">
        <f t="shared" ref="DH36" si="79">+DG36</f>
        <v>62287</v>
      </c>
      <c r="DI36" s="45">
        <f t="shared" ref="DI36" si="80">+DH36</f>
        <v>62287</v>
      </c>
      <c r="DJ36" s="39"/>
      <c r="DK36" s="39"/>
      <c r="DL36" s="39"/>
      <c r="DM36" s="39"/>
      <c r="DN36" s="39"/>
      <c r="DO36" s="39"/>
      <c r="DP36" s="39"/>
      <c r="DQ36" s="39"/>
      <c r="DR36" s="39"/>
      <c r="DS36" s="39"/>
      <c r="DT36" s="39"/>
      <c r="DU36" s="39"/>
      <c r="DV36" s="39"/>
      <c r="DW36" s="39"/>
      <c r="DX36" s="39"/>
      <c r="DY36" s="39"/>
      <c r="DZ36" s="39"/>
      <c r="EA36" s="39"/>
      <c r="EB36" s="39"/>
      <c r="EC36" s="39"/>
      <c r="ED36" s="39"/>
      <c r="EE36" s="39"/>
      <c r="EF36" s="39"/>
      <c r="EG36" s="39"/>
      <c r="EH36" s="39"/>
      <c r="EI36" s="39"/>
      <c r="EJ36" s="39"/>
      <c r="EK36" s="39"/>
      <c r="EL36" s="39"/>
      <c r="EM36" s="39"/>
      <c r="EN36" s="39"/>
      <c r="EO36" s="39"/>
    </row>
    <row r="37" spans="1:145" ht="12.95" customHeight="1">
      <c r="A37" s="40"/>
      <c r="B37" s="46" t="s">
        <v>136</v>
      </c>
      <c r="C37" s="43">
        <f>1858-220</f>
        <v>1638</v>
      </c>
      <c r="D37" s="43">
        <f>1980-155</f>
        <v>1825</v>
      </c>
      <c r="E37" s="43">
        <f>1579+50</f>
        <v>1629</v>
      </c>
      <c r="F37" s="43">
        <v>2439</v>
      </c>
      <c r="G37" s="43">
        <v>1744</v>
      </c>
      <c r="H37" s="43">
        <v>1849</v>
      </c>
      <c r="I37" s="43">
        <v>1884</v>
      </c>
      <c r="J37" s="43">
        <v>2387</v>
      </c>
      <c r="K37" s="43">
        <v>2131</v>
      </c>
      <c r="L37" s="43">
        <v>2434</v>
      </c>
      <c r="M37" s="43">
        <v>2302</v>
      </c>
      <c r="N37" s="43">
        <f>+M37</f>
        <v>2302</v>
      </c>
      <c r="O37" s="43">
        <v>2290</v>
      </c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>
        <v>3075</v>
      </c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>
        <v>3321</v>
      </c>
      <c r="AR37" s="43">
        <v>3296</v>
      </c>
      <c r="AS37" s="43">
        <v>3644</v>
      </c>
      <c r="AT37" s="43">
        <v>4544</v>
      </c>
      <c r="AU37" s="43">
        <v>2678</v>
      </c>
      <c r="AV37" s="43">
        <v>3557</v>
      </c>
      <c r="AW37" s="43">
        <v>3601</v>
      </c>
      <c r="AX37" s="43">
        <v>4384</v>
      </c>
      <c r="AY37" s="43">
        <v>3777</v>
      </c>
      <c r="AZ37" s="43">
        <v>3291</v>
      </c>
      <c r="BA37" s="43">
        <v>3911</v>
      </c>
      <c r="BB37" s="43">
        <v>4483</v>
      </c>
      <c r="BC37" s="43">
        <v>3944</v>
      </c>
      <c r="BD37" s="43">
        <v>3944</v>
      </c>
      <c r="BE37" s="43">
        <v>4252</v>
      </c>
      <c r="BF37" s="43">
        <v>5632</v>
      </c>
      <c r="BG37" s="43">
        <v>5206</v>
      </c>
      <c r="BH37" s="43">
        <v>5123</v>
      </c>
      <c r="BI37" s="43">
        <v>5633</v>
      </c>
      <c r="BJ37" s="43">
        <v>8085</v>
      </c>
      <c r="BK37" s="43">
        <v>6728</v>
      </c>
      <c r="BL37" s="43">
        <v>7127</v>
      </c>
      <c r="BM37" s="43">
        <v>8128</v>
      </c>
      <c r="BN37" s="43">
        <v>10460</v>
      </c>
      <c r="BO37" s="43">
        <v>8606</v>
      </c>
      <c r="BP37" s="43">
        <v>16166</v>
      </c>
      <c r="BQ37" s="43">
        <v>9488</v>
      </c>
      <c r="BR37" s="43">
        <f t="shared" si="72"/>
        <v>11506.000000000002</v>
      </c>
      <c r="BS37" s="43"/>
      <c r="BT37" s="43"/>
      <c r="BU37" s="43"/>
      <c r="BV37" s="43"/>
      <c r="BW37" s="43"/>
      <c r="BX37" s="43">
        <v>-2795</v>
      </c>
      <c r="BY37" s="43">
        <v>-2748</v>
      </c>
      <c r="BZ37" s="43">
        <v>-3407</v>
      </c>
      <c r="CA37" s="43">
        <v>-3872</v>
      </c>
      <c r="CB37" s="43">
        <v>-3952</v>
      </c>
      <c r="CC37" s="43"/>
      <c r="CD37" s="43"/>
      <c r="CE37" s="43"/>
      <c r="CF37" s="43"/>
      <c r="CG37" s="43"/>
      <c r="CH37" s="43"/>
      <c r="CI37" s="43">
        <f>SUM(G37:J37)</f>
        <v>7864</v>
      </c>
      <c r="CJ37" s="43">
        <v>9602</v>
      </c>
      <c r="CK37" s="43">
        <v>9628</v>
      </c>
      <c r="CL37" s="43">
        <v>10897</v>
      </c>
      <c r="CM37" s="43"/>
      <c r="CN37" s="43">
        <v>13762</v>
      </c>
      <c r="CO37" s="43">
        <v>13608</v>
      </c>
      <c r="CP37" s="45">
        <v>14563</v>
      </c>
      <c r="CQ37" s="45">
        <v>14014</v>
      </c>
      <c r="CR37" s="45">
        <v>14805</v>
      </c>
      <c r="CS37" s="45">
        <v>14220</v>
      </c>
      <c r="CT37" s="45">
        <v>15462</v>
      </c>
      <c r="CU37" s="45">
        <f t="shared" si="51"/>
        <v>17772</v>
      </c>
      <c r="CV37" s="45">
        <f t="shared" si="52"/>
        <v>24047</v>
      </c>
      <c r="CW37" s="45">
        <f t="shared" si="73"/>
        <v>32443</v>
      </c>
      <c r="CX37" s="45">
        <f t="shared" si="74"/>
        <v>45766</v>
      </c>
      <c r="CY37" s="45">
        <f>+CX37</f>
        <v>45766</v>
      </c>
      <c r="CZ37" s="45"/>
      <c r="DA37" s="45"/>
      <c r="DB37" s="45"/>
      <c r="DC37" s="45"/>
      <c r="DD37" s="45"/>
      <c r="DE37" s="45"/>
      <c r="DF37" s="45"/>
      <c r="DG37" s="45"/>
      <c r="DH37" s="45"/>
      <c r="DI37" s="45"/>
      <c r="DJ37" s="39"/>
      <c r="DK37" s="39"/>
      <c r="DL37" s="39"/>
      <c r="DM37" s="39"/>
      <c r="DN37" s="39"/>
      <c r="DO37" s="39"/>
      <c r="DP37" s="39"/>
      <c r="DQ37" s="39"/>
      <c r="DR37" s="39"/>
      <c r="DS37" s="39"/>
      <c r="DT37" s="39"/>
      <c r="DU37" s="39"/>
      <c r="DV37" s="39"/>
      <c r="DW37" s="39"/>
      <c r="DX37" s="39"/>
      <c r="DY37" s="39"/>
      <c r="DZ37" s="39"/>
      <c r="EA37" s="39"/>
      <c r="EB37" s="39"/>
      <c r="EC37" s="39"/>
      <c r="ED37" s="39"/>
      <c r="EE37" s="39"/>
      <c r="EF37" s="39"/>
      <c r="EG37" s="39"/>
      <c r="EH37" s="39"/>
      <c r="EI37" s="39"/>
      <c r="EJ37" s="39"/>
      <c r="EK37" s="39"/>
      <c r="EL37" s="39"/>
      <c r="EM37" s="39"/>
      <c r="EN37" s="39"/>
      <c r="EO37" s="39"/>
    </row>
    <row r="38" spans="1:145" ht="12.95" customHeight="1">
      <c r="A38" s="40"/>
      <c r="B38" s="46" t="s">
        <v>191</v>
      </c>
      <c r="C38" s="43">
        <v>627</v>
      </c>
      <c r="D38" s="43">
        <v>626</v>
      </c>
      <c r="E38" s="43">
        <v>633</v>
      </c>
      <c r="F38" s="43">
        <v>749</v>
      </c>
      <c r="G38" s="43">
        <v>679</v>
      </c>
      <c r="H38" s="43">
        <v>693</v>
      </c>
      <c r="I38" s="43">
        <v>666</v>
      </c>
      <c r="J38" s="43">
        <v>726</v>
      </c>
      <c r="K38" s="43">
        <v>711</v>
      </c>
      <c r="L38" s="43">
        <v>745</v>
      </c>
      <c r="M38" s="43">
        <v>759</v>
      </c>
      <c r="N38" s="43">
        <f>+M38</f>
        <v>759</v>
      </c>
      <c r="O38" s="43">
        <v>756</v>
      </c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>
        <v>795</v>
      </c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>
        <v>864</v>
      </c>
      <c r="AR38" s="43">
        <v>851</v>
      </c>
      <c r="AS38" s="43">
        <v>932</v>
      </c>
      <c r="AT38" s="43">
        <v>1269</v>
      </c>
      <c r="AU38" s="43">
        <v>911</v>
      </c>
      <c r="AV38" s="43">
        <v>852</v>
      </c>
      <c r="AW38" s="43">
        <v>1009</v>
      </c>
      <c r="AX38" s="43">
        <v>1235</v>
      </c>
      <c r="AY38" s="43">
        <v>927</v>
      </c>
      <c r="AZ38" s="43">
        <v>827</v>
      </c>
      <c r="BA38" s="43">
        <v>1006</v>
      </c>
      <c r="BB38" s="43">
        <v>1198</v>
      </c>
      <c r="BC38" s="43">
        <v>932</v>
      </c>
      <c r="BD38" s="43">
        <v>904</v>
      </c>
      <c r="BE38" s="43">
        <v>1024</v>
      </c>
      <c r="BF38" s="43">
        <v>1190</v>
      </c>
      <c r="BG38" s="43">
        <v>970</v>
      </c>
      <c r="BH38" s="43">
        <v>991</v>
      </c>
      <c r="BI38" s="43">
        <v>1158</v>
      </c>
      <c r="BJ38" s="43">
        <v>1348</v>
      </c>
      <c r="BK38" s="43">
        <v>1071</v>
      </c>
      <c r="BL38" s="43">
        <v>1072</v>
      </c>
      <c r="BM38" s="43">
        <v>1256</v>
      </c>
      <c r="BN38" s="43">
        <v>1456</v>
      </c>
      <c r="BO38" s="43">
        <v>1157</v>
      </c>
      <c r="BP38" s="43">
        <v>1157</v>
      </c>
      <c r="BQ38" s="43">
        <v>1382</v>
      </c>
      <c r="BR38" s="43">
        <f t="shared" si="72"/>
        <v>1601.6000000000001</v>
      </c>
      <c r="BS38" s="43"/>
      <c r="BT38" s="43"/>
      <c r="BU38" s="43"/>
      <c r="BV38" s="43"/>
      <c r="BW38" s="43"/>
      <c r="BX38" s="43">
        <v>-1397</v>
      </c>
      <c r="BY38" s="43">
        <v>-1721</v>
      </c>
      <c r="BZ38" s="43">
        <v>-1917</v>
      </c>
      <c r="CA38" s="43">
        <v>-1931</v>
      </c>
      <c r="CB38" s="43">
        <v>-1960</v>
      </c>
      <c r="CC38" s="43"/>
      <c r="CD38" s="43"/>
      <c r="CE38" s="43"/>
      <c r="CF38" s="43"/>
      <c r="CG38" s="43"/>
      <c r="CH38" s="43"/>
      <c r="CI38" s="43">
        <f>SUM(G38:J38)</f>
        <v>2764</v>
      </c>
      <c r="CJ38" s="43">
        <v>3065</v>
      </c>
      <c r="CK38" s="43">
        <v>3245</v>
      </c>
      <c r="CL38" s="43">
        <v>3312</v>
      </c>
      <c r="CM38" s="43"/>
      <c r="CN38" s="43">
        <v>3537</v>
      </c>
      <c r="CO38" s="43">
        <v>3857</v>
      </c>
      <c r="CP38" s="45">
        <v>3962</v>
      </c>
      <c r="CQ38" s="45">
        <v>3784</v>
      </c>
      <c r="CR38" s="45">
        <v>3916</v>
      </c>
      <c r="CS38" s="45">
        <v>4007</v>
      </c>
      <c r="CT38" s="45">
        <v>3958</v>
      </c>
      <c r="CU38" s="45">
        <f t="shared" si="51"/>
        <v>4050</v>
      </c>
      <c r="CV38" s="45">
        <f t="shared" si="52"/>
        <v>4467</v>
      </c>
      <c r="CW38" s="45">
        <f t="shared" si="73"/>
        <v>4855</v>
      </c>
      <c r="CX38" s="45">
        <f t="shared" si="74"/>
        <v>5297.6</v>
      </c>
      <c r="CY38" s="45">
        <f>+CX38</f>
        <v>5297.6</v>
      </c>
      <c r="CZ38" s="45">
        <f t="shared" ref="CZ38:DD38" si="81">+CY38</f>
        <v>5297.6</v>
      </c>
      <c r="DA38" s="45">
        <f t="shared" si="81"/>
        <v>5297.6</v>
      </c>
      <c r="DB38" s="45">
        <f t="shared" si="81"/>
        <v>5297.6</v>
      </c>
      <c r="DC38" s="45">
        <f t="shared" si="81"/>
        <v>5297.6</v>
      </c>
      <c r="DD38" s="45">
        <f t="shared" si="81"/>
        <v>5297.6</v>
      </c>
      <c r="DE38" s="45">
        <f t="shared" ref="DE38:DE39" si="82">+DD38</f>
        <v>5297.6</v>
      </c>
      <c r="DF38" s="45">
        <f t="shared" ref="DF38:DF39" si="83">+DE38</f>
        <v>5297.6</v>
      </c>
      <c r="DG38" s="45">
        <f t="shared" ref="DG38:DG39" si="84">+DF38</f>
        <v>5297.6</v>
      </c>
      <c r="DH38" s="45">
        <f t="shared" ref="DH38:DH39" si="85">+DG38</f>
        <v>5297.6</v>
      </c>
      <c r="DI38" s="45">
        <f t="shared" ref="DI38:DI39" si="86">+DH38</f>
        <v>5297.6</v>
      </c>
      <c r="DJ38" s="39"/>
      <c r="DK38" s="39"/>
      <c r="DL38" s="39"/>
      <c r="DM38" s="39"/>
      <c r="DN38" s="39"/>
      <c r="DO38" s="39"/>
      <c r="DP38" s="39"/>
      <c r="DQ38" s="39"/>
      <c r="DR38" s="39"/>
      <c r="DS38" s="39"/>
      <c r="DT38" s="39"/>
      <c r="DU38" s="39"/>
      <c r="DV38" s="39"/>
      <c r="DW38" s="39"/>
      <c r="DX38" s="39"/>
      <c r="DY38" s="39"/>
      <c r="DZ38" s="39"/>
      <c r="EA38" s="39"/>
      <c r="EB38" s="39"/>
      <c r="EC38" s="39"/>
      <c r="ED38" s="39"/>
      <c r="EE38" s="39"/>
      <c r="EF38" s="39"/>
      <c r="EG38" s="39"/>
      <c r="EH38" s="39"/>
      <c r="EI38" s="39"/>
      <c r="EJ38" s="39"/>
      <c r="EK38" s="39"/>
      <c r="EL38" s="39"/>
      <c r="EM38" s="39"/>
      <c r="EN38" s="39"/>
      <c r="EO38" s="39"/>
    </row>
    <row r="39" spans="1:145" ht="12.95" customHeight="1">
      <c r="A39" s="40"/>
      <c r="B39" s="46" t="s">
        <v>132</v>
      </c>
      <c r="C39" s="43">
        <v>88</v>
      </c>
      <c r="D39" s="43">
        <v>74</v>
      </c>
      <c r="E39" s="43">
        <v>51</v>
      </c>
      <c r="F39" s="43">
        <v>73</v>
      </c>
      <c r="G39" s="43">
        <v>87</v>
      </c>
      <c r="H39" s="43">
        <v>78</v>
      </c>
      <c r="I39" s="43">
        <v>34</v>
      </c>
      <c r="J39" s="43">
        <v>142</v>
      </c>
      <c r="K39" s="43">
        <v>224</v>
      </c>
      <c r="L39" s="43">
        <v>159</v>
      </c>
      <c r="M39" s="43">
        <v>110</v>
      </c>
      <c r="N39" s="43">
        <f>+M39</f>
        <v>110</v>
      </c>
      <c r="O39" s="43">
        <v>148</v>
      </c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>
        <v>204</v>
      </c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>
        <v>-351</v>
      </c>
      <c r="AR39" s="43">
        <v>-386</v>
      </c>
      <c r="AS39" s="43">
        <v>-170</v>
      </c>
      <c r="AT39" s="43">
        <v>-245</v>
      </c>
      <c r="AU39" s="43">
        <v>-215</v>
      </c>
      <c r="AV39" s="43">
        <v>-254</v>
      </c>
      <c r="AW39" s="43">
        <v>-88</v>
      </c>
      <c r="AX39" s="43">
        <v>-43</v>
      </c>
      <c r="AY39" s="43">
        <v>-107</v>
      </c>
      <c r="AZ39" s="43">
        <v>-120</v>
      </c>
      <c r="BA39" s="43">
        <v>-127</v>
      </c>
      <c r="BB39" s="43">
        <v>-106</v>
      </c>
      <c r="BC39" s="43">
        <v>-121</v>
      </c>
      <c r="BD39" s="43">
        <v>-134</v>
      </c>
      <c r="BE39" s="43">
        <v>-81</v>
      </c>
      <c r="BF39" s="43">
        <v>4</v>
      </c>
      <c r="BG39" s="43">
        <v>-392</v>
      </c>
      <c r="BH39" s="43">
        <v>-149</v>
      </c>
      <c r="BI39" s="43">
        <v>-60</v>
      </c>
      <c r="BJ39" s="43">
        <v>-433</v>
      </c>
      <c r="BK39" s="43">
        <v>-33</v>
      </c>
      <c r="BL39" s="43">
        <v>15</v>
      </c>
      <c r="BM39" s="43">
        <v>-98</v>
      </c>
      <c r="BN39" s="43">
        <v>-3</v>
      </c>
      <c r="BO39" s="43">
        <v>568</v>
      </c>
      <c r="BP39" s="43">
        <v>-405</v>
      </c>
      <c r="BQ39" s="43">
        <v>101</v>
      </c>
      <c r="BR39" s="43">
        <f>AVERAGE(BN39:BQ39)</f>
        <v>65.25</v>
      </c>
      <c r="BS39" s="43"/>
      <c r="BT39" s="43"/>
      <c r="BU39" s="43"/>
      <c r="BV39" s="43"/>
      <c r="BW39" s="43"/>
      <c r="BX39" s="43">
        <v>1441</v>
      </c>
      <c r="BY39" s="43">
        <v>612</v>
      </c>
      <c r="BZ39" s="43">
        <v>571</v>
      </c>
      <c r="CA39" s="43">
        <v>815</v>
      </c>
      <c r="CB39" s="43">
        <v>758</v>
      </c>
      <c r="CC39" s="43"/>
      <c r="CD39" s="43"/>
      <c r="CE39" s="43"/>
      <c r="CF39" s="43"/>
      <c r="CG39" s="43"/>
      <c r="CH39" s="43"/>
      <c r="CI39" s="43"/>
      <c r="CJ39" s="43">
        <v>-657</v>
      </c>
      <c r="CK39" s="43">
        <v>-494</v>
      </c>
      <c r="CL39" s="43">
        <v>-666</v>
      </c>
      <c r="CM39" s="43"/>
      <c r="CN39" s="43">
        <v>-770</v>
      </c>
      <c r="CO39" s="43">
        <v>-3482</v>
      </c>
      <c r="CP39" s="45">
        <v>-737</v>
      </c>
      <c r="CQ39" s="45"/>
      <c r="CR39" s="45"/>
      <c r="CS39" s="45">
        <v>-600</v>
      </c>
      <c r="CT39" s="45">
        <v>-460</v>
      </c>
      <c r="CU39" s="45">
        <f t="shared" si="51"/>
        <v>-332</v>
      </c>
      <c r="CV39" s="45">
        <f t="shared" si="52"/>
        <v>-1034</v>
      </c>
      <c r="CW39" s="45">
        <f t="shared" si="73"/>
        <v>-119</v>
      </c>
      <c r="CX39" s="45">
        <f t="shared" si="74"/>
        <v>329.25</v>
      </c>
      <c r="CY39" s="45">
        <f>+CX39</f>
        <v>329.25</v>
      </c>
      <c r="CZ39" s="45">
        <f t="shared" ref="CZ39:DD39" si="87">+CY39</f>
        <v>329.25</v>
      </c>
      <c r="DA39" s="45">
        <f t="shared" si="87"/>
        <v>329.25</v>
      </c>
      <c r="DB39" s="45">
        <f t="shared" si="87"/>
        <v>329.25</v>
      </c>
      <c r="DC39" s="45">
        <f t="shared" si="87"/>
        <v>329.25</v>
      </c>
      <c r="DD39" s="45">
        <f t="shared" si="87"/>
        <v>329.25</v>
      </c>
      <c r="DE39" s="45">
        <f t="shared" si="82"/>
        <v>329.25</v>
      </c>
      <c r="DF39" s="45">
        <f t="shared" si="83"/>
        <v>329.25</v>
      </c>
      <c r="DG39" s="45">
        <f t="shared" si="84"/>
        <v>329.25</v>
      </c>
      <c r="DH39" s="45">
        <f t="shared" si="85"/>
        <v>329.25</v>
      </c>
      <c r="DI39" s="45">
        <f t="shared" si="86"/>
        <v>329.25</v>
      </c>
      <c r="DJ39" s="39"/>
      <c r="DK39" s="39"/>
      <c r="DL39" s="39"/>
      <c r="DM39" s="39"/>
      <c r="DN39" s="39"/>
      <c r="DO39" s="39"/>
      <c r="DP39" s="39"/>
      <c r="DQ39" s="39"/>
      <c r="DR39" s="39"/>
      <c r="DS39" s="39"/>
      <c r="DT39" s="39"/>
      <c r="DU39" s="39"/>
      <c r="DV39" s="39"/>
      <c r="DW39" s="39"/>
      <c r="DX39" s="39"/>
      <c r="DY39" s="39"/>
      <c r="DZ39" s="39"/>
      <c r="EA39" s="39"/>
      <c r="EB39" s="39"/>
      <c r="EC39" s="39"/>
      <c r="ED39" s="39"/>
      <c r="EE39" s="39"/>
      <c r="EF39" s="39"/>
      <c r="EG39" s="39"/>
      <c r="EH39" s="39"/>
      <c r="EI39" s="39"/>
      <c r="EJ39" s="39"/>
      <c r="EK39" s="39"/>
      <c r="EL39" s="39"/>
      <c r="EM39" s="39"/>
      <c r="EN39" s="39"/>
      <c r="EO39" s="39"/>
    </row>
    <row r="40" spans="1:145" ht="12.95" customHeight="1">
      <c r="A40" s="40"/>
      <c r="B40" s="46" t="s">
        <v>137</v>
      </c>
      <c r="C40" s="43">
        <f t="shared" ref="C40:K40" si="88">SUM(C36:C38)-C39</f>
        <v>5152</v>
      </c>
      <c r="D40" s="43">
        <f t="shared" si="88"/>
        <v>5555</v>
      </c>
      <c r="E40" s="43">
        <f t="shared" si="88"/>
        <v>5366</v>
      </c>
      <c r="F40" s="43">
        <f t="shared" si="88"/>
        <v>6673</v>
      </c>
      <c r="G40" s="43">
        <f t="shared" si="88"/>
        <v>6180</v>
      </c>
      <c r="H40" s="43">
        <f t="shared" si="88"/>
        <v>6301</v>
      </c>
      <c r="I40" s="43">
        <f t="shared" si="88"/>
        <v>6018</v>
      </c>
      <c r="J40" s="43">
        <f t="shared" si="88"/>
        <v>7208</v>
      </c>
      <c r="K40" s="43">
        <f t="shared" si="88"/>
        <v>6602</v>
      </c>
      <c r="L40" s="43">
        <f>SUM(L36:L38)-L39</f>
        <v>7384</v>
      </c>
      <c r="M40" s="43">
        <f>SUM(M36:M38)-M39</f>
        <v>7524</v>
      </c>
      <c r="N40" s="43">
        <f>SUM(N36:N38)-N39</f>
        <v>7524</v>
      </c>
      <c r="O40" s="43">
        <f>SUM(O36:O38)-O39</f>
        <v>7158</v>
      </c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>
        <f>SUM(AB36:AB39)</f>
        <v>9633</v>
      </c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>
        <f t="shared" ref="AQ40:AT40" si="89">SUM(AQ36:AQ39)</f>
        <v>10285</v>
      </c>
      <c r="AR40" s="43">
        <f t="shared" si="89"/>
        <v>10851</v>
      </c>
      <c r="AS40" s="43">
        <f t="shared" si="89"/>
        <v>11534</v>
      </c>
      <c r="AT40" s="43">
        <f t="shared" si="89"/>
        <v>14296</v>
      </c>
      <c r="AU40" s="43">
        <f t="shared" ref="AU40:AW40" si="90">SUM(AU36:AU39)</f>
        <v>10320</v>
      </c>
      <c r="AV40" s="43">
        <f t="shared" si="90"/>
        <v>11735</v>
      </c>
      <c r="AW40" s="43">
        <f t="shared" si="90"/>
        <v>12283</v>
      </c>
      <c r="AX40" s="43">
        <f t="shared" ref="AX40:BB40" si="91">SUM(AX36:AX39)</f>
        <v>15112</v>
      </c>
      <c r="AY40" s="43">
        <f t="shared" si="91"/>
        <v>12187</v>
      </c>
      <c r="AZ40" s="43">
        <f t="shared" si="91"/>
        <v>11396</v>
      </c>
      <c r="BA40" s="43">
        <f t="shared" si="91"/>
        <v>12964</v>
      </c>
      <c r="BB40" s="43">
        <f t="shared" si="91"/>
        <v>15341</v>
      </c>
      <c r="BC40" s="43">
        <f t="shared" ref="BC40:BH40" si="92">SUM(BC36:BC39)</f>
        <v>13011</v>
      </c>
      <c r="BD40" s="43">
        <f t="shared" si="92"/>
        <v>12715</v>
      </c>
      <c r="BE40" s="43">
        <f t="shared" si="92"/>
        <v>14314</v>
      </c>
      <c r="BF40" s="43">
        <f t="shared" si="92"/>
        <v>18458</v>
      </c>
      <c r="BG40" s="43">
        <f t="shared" si="92"/>
        <v>15967</v>
      </c>
      <c r="BH40" s="43">
        <f t="shared" si="92"/>
        <v>16805</v>
      </c>
      <c r="BI40" s="43">
        <f t="shared" ref="BI40:BN40" si="93">SUM(BI36:BI39)</f>
        <v>18182</v>
      </c>
      <c r="BJ40" s="43">
        <f t="shared" si="93"/>
        <v>22743</v>
      </c>
      <c r="BK40" s="43">
        <f t="shared" si="93"/>
        <v>20178</v>
      </c>
      <c r="BL40" s="43">
        <f t="shared" si="93"/>
        <v>22556</v>
      </c>
      <c r="BM40" s="43">
        <f t="shared" si="93"/>
        <v>22105</v>
      </c>
      <c r="BN40" s="43">
        <f t="shared" si="93"/>
        <v>29083</v>
      </c>
      <c r="BO40" s="43">
        <f>SUM(BO36:BO39)</f>
        <v>23587</v>
      </c>
      <c r="BP40" s="43">
        <f t="shared" ref="BP40:BR40" si="94">SUM(BP36:BP39)</f>
        <v>31852</v>
      </c>
      <c r="BQ40" s="43">
        <f t="shared" si="94"/>
        <v>26181</v>
      </c>
      <c r="BR40" s="43">
        <f t="shared" si="94"/>
        <v>32059.85</v>
      </c>
      <c r="BS40" s="43"/>
      <c r="BT40" s="43"/>
      <c r="BU40" s="43"/>
      <c r="BV40" s="43"/>
      <c r="BW40" s="43"/>
      <c r="BX40" s="43">
        <f>BX35+SUM(BX36:BX39)</f>
        <v>2933</v>
      </c>
      <c r="BY40" s="43">
        <f>BY35+SUM(BY36:BY39)</f>
        <v>3527</v>
      </c>
      <c r="BZ40" s="43">
        <f>BZ35+SUM(BZ36:BZ39)</f>
        <v>4703</v>
      </c>
      <c r="CA40" s="43">
        <f>CA35+SUM(CA36:CA39)</f>
        <v>5410</v>
      </c>
      <c r="CB40" s="43">
        <f>CB35+SUM(CB36:CB39)</f>
        <v>5927</v>
      </c>
      <c r="CC40" s="43"/>
      <c r="CD40" s="43"/>
      <c r="CE40" s="43"/>
      <c r="CF40" s="43"/>
      <c r="CG40" s="43"/>
      <c r="CH40" s="43"/>
      <c r="CI40" s="43">
        <f>SUM(CI36:CI38)</f>
        <v>26048</v>
      </c>
      <c r="CJ40" s="43">
        <f>SUM(CJ36:CJ39)</f>
        <v>30205</v>
      </c>
      <c r="CK40" s="43">
        <f>SUM(CK36:CK39)</f>
        <v>31383</v>
      </c>
      <c r="CL40" s="43">
        <f>SUM(CL36:CL39)</f>
        <v>35087</v>
      </c>
      <c r="CM40" s="43">
        <f>SUM(CM36:CM38)</f>
        <v>0</v>
      </c>
      <c r="CN40" s="43">
        <f>SUM(CN36:CN39)</f>
        <v>39752</v>
      </c>
      <c r="CO40" s="43">
        <f>SUM(CO36:CO39)</f>
        <v>42295</v>
      </c>
      <c r="CP40" s="43">
        <f>SUM(CP36:CP39)</f>
        <v>46165</v>
      </c>
      <c r="CQ40" s="45">
        <f>SUM(CQ36:CQ38)</f>
        <v>46138</v>
      </c>
      <c r="CR40" s="45">
        <f t="shared" ref="CR40" si="95">SUM(CR36:CR38)</f>
        <v>48118</v>
      </c>
      <c r="CS40" s="45">
        <f>SUM(CS36:CS39)</f>
        <v>49450</v>
      </c>
      <c r="CT40" s="45">
        <f t="shared" ref="CT40:CX40" si="96">SUM(CT36:CT39)</f>
        <v>51888</v>
      </c>
      <c r="CU40" s="45">
        <f t="shared" si="96"/>
        <v>58498</v>
      </c>
      <c r="CV40" s="45">
        <f t="shared" si="96"/>
        <v>73697</v>
      </c>
      <c r="CW40" s="45">
        <f>SUM(CW36:CW39)</f>
        <v>93922</v>
      </c>
      <c r="CX40" s="45">
        <f t="shared" si="96"/>
        <v>113679.85</v>
      </c>
      <c r="CY40" s="45">
        <f t="shared" ref="CY40:DD40" si="97">SUM(CY36:CY39)</f>
        <v>113679.85</v>
      </c>
      <c r="CZ40" s="45">
        <f t="shared" si="97"/>
        <v>67913.850000000006</v>
      </c>
      <c r="DA40" s="45">
        <f t="shared" si="97"/>
        <v>67913.850000000006</v>
      </c>
      <c r="DB40" s="45">
        <f t="shared" si="97"/>
        <v>67913.850000000006</v>
      </c>
      <c r="DC40" s="45">
        <f t="shared" si="97"/>
        <v>67913.850000000006</v>
      </c>
      <c r="DD40" s="45">
        <f t="shared" si="97"/>
        <v>67913.850000000006</v>
      </c>
      <c r="DE40" s="45">
        <f t="shared" ref="DE40:DI40" si="98">SUM(DE36:DE39)</f>
        <v>67913.850000000006</v>
      </c>
      <c r="DF40" s="45">
        <f t="shared" si="98"/>
        <v>67913.850000000006</v>
      </c>
      <c r="DG40" s="45">
        <f t="shared" si="98"/>
        <v>67913.850000000006</v>
      </c>
      <c r="DH40" s="45">
        <f t="shared" si="98"/>
        <v>67913.850000000006</v>
      </c>
      <c r="DI40" s="45">
        <f t="shared" si="98"/>
        <v>67913.850000000006</v>
      </c>
      <c r="DJ40" s="39"/>
      <c r="DK40" s="39"/>
      <c r="DL40" s="39"/>
      <c r="DM40" s="39"/>
      <c r="DN40" s="39"/>
      <c r="DO40" s="39"/>
      <c r="DP40" s="39"/>
      <c r="DQ40" s="39"/>
      <c r="DR40" s="39"/>
      <c r="DS40" s="39"/>
      <c r="DT40" s="39"/>
      <c r="DU40" s="39"/>
      <c r="DV40" s="39"/>
      <c r="DW40" s="39"/>
      <c r="DX40" s="39"/>
      <c r="DY40" s="39"/>
      <c r="DZ40" s="39"/>
      <c r="EA40" s="39"/>
      <c r="EB40" s="39"/>
      <c r="EC40" s="39"/>
      <c r="ED40" s="39"/>
      <c r="EE40" s="39"/>
      <c r="EF40" s="39"/>
      <c r="EG40" s="39"/>
      <c r="EH40" s="39"/>
      <c r="EI40" s="39"/>
      <c r="EJ40" s="39"/>
      <c r="EK40" s="39"/>
      <c r="EL40" s="39"/>
      <c r="EM40" s="39"/>
      <c r="EN40" s="39"/>
      <c r="EO40" s="39"/>
    </row>
    <row r="41" spans="1:145" ht="12.95" customHeight="1">
      <c r="A41" s="40"/>
      <c r="B41" s="46" t="s">
        <v>192</v>
      </c>
      <c r="C41" s="43">
        <f t="shared" ref="C41:K41" si="99">C35-C40</f>
        <v>3049</v>
      </c>
      <c r="D41" s="43">
        <f t="shared" si="99"/>
        <v>3001</v>
      </c>
      <c r="E41" s="43">
        <f t="shared" si="99"/>
        <v>3274</v>
      </c>
      <c r="F41" s="43">
        <f t="shared" si="99"/>
        <v>3374</v>
      </c>
      <c r="G41" s="43">
        <f t="shared" si="99"/>
        <v>3810</v>
      </c>
      <c r="H41" s="43">
        <f t="shared" si="99"/>
        <v>4090</v>
      </c>
      <c r="I41" s="43">
        <f t="shared" si="99"/>
        <v>3814</v>
      </c>
      <c r="J41" s="43">
        <f t="shared" si="99"/>
        <v>3219</v>
      </c>
      <c r="K41" s="43">
        <f t="shared" si="99"/>
        <v>4382</v>
      </c>
      <c r="L41" s="43">
        <f>L35-L40</f>
        <v>5041</v>
      </c>
      <c r="M41" s="43">
        <f>M35-M40</f>
        <v>5124</v>
      </c>
      <c r="N41" s="43">
        <f>N35-N40</f>
        <v>5375.2000000000007</v>
      </c>
      <c r="O41" s="43">
        <f>O35-O40</f>
        <v>5418</v>
      </c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  <c r="AA41" s="43"/>
      <c r="AB41" s="43">
        <f>AB35-AB40</f>
        <v>8325</v>
      </c>
      <c r="AC41" s="43"/>
      <c r="AD41" s="43"/>
      <c r="AE41" s="43"/>
      <c r="AF41" s="43"/>
      <c r="AG41" s="43"/>
      <c r="AH41" s="43"/>
      <c r="AI41" s="43"/>
      <c r="AJ41" s="43"/>
      <c r="AK41" s="43"/>
      <c r="AL41" s="43"/>
      <c r="AM41" s="43"/>
      <c r="AN41" s="43"/>
      <c r="AO41" s="43"/>
      <c r="AP41" s="43"/>
      <c r="AQ41" s="43">
        <f t="shared" ref="AQ41:AT41" si="100">AQ35-AQ40</f>
        <v>12448</v>
      </c>
      <c r="AR41" s="43">
        <f t="shared" si="100"/>
        <v>12204</v>
      </c>
      <c r="AS41" s="43">
        <f t="shared" si="100"/>
        <v>11813</v>
      </c>
      <c r="AT41" s="43">
        <f t="shared" si="100"/>
        <v>10783</v>
      </c>
      <c r="AU41" s="43">
        <f t="shared" ref="AU41:AW41" si="101">AU35-AU40</f>
        <v>14239</v>
      </c>
      <c r="AV41" s="43">
        <f t="shared" si="101"/>
        <v>13452</v>
      </c>
      <c r="AW41" s="43">
        <f t="shared" si="101"/>
        <v>12919</v>
      </c>
      <c r="AX41" s="43">
        <f t="shared" ref="AX41:BB41" si="102">AX35-AX40</f>
        <v>11873</v>
      </c>
      <c r="AY41" s="43">
        <f t="shared" si="102"/>
        <v>16302</v>
      </c>
      <c r="AZ41" s="43">
        <f t="shared" si="102"/>
        <v>13838</v>
      </c>
      <c r="BA41" s="43">
        <f t="shared" si="102"/>
        <v>12808</v>
      </c>
      <c r="BB41" s="43">
        <f t="shared" si="102"/>
        <v>11178</v>
      </c>
      <c r="BC41" s="43">
        <f t="shared" ref="BC41:BH41" si="103">BC35-BC40</f>
        <v>14982</v>
      </c>
      <c r="BD41" s="43">
        <f t="shared" si="103"/>
        <v>14779</v>
      </c>
      <c r="BE41" s="43">
        <f t="shared" si="103"/>
        <v>15249</v>
      </c>
      <c r="BF41" s="43">
        <f t="shared" si="103"/>
        <v>13634</v>
      </c>
      <c r="BG41" s="43">
        <f t="shared" si="103"/>
        <v>19147</v>
      </c>
      <c r="BH41" s="43">
        <f t="shared" si="103"/>
        <v>18391</v>
      </c>
      <c r="BI41" s="43">
        <f t="shared" ref="BI41:BN41" si="104">BI35-BI40</f>
        <v>20184</v>
      </c>
      <c r="BJ41" s="43">
        <f t="shared" si="104"/>
        <v>17087</v>
      </c>
      <c r="BK41" s="43">
        <f t="shared" si="104"/>
        <v>25007</v>
      </c>
      <c r="BL41" s="43">
        <f t="shared" si="104"/>
        <v>23888</v>
      </c>
      <c r="BM41" s="43">
        <f t="shared" si="104"/>
        <v>26913</v>
      </c>
      <c r="BN41" s="43">
        <f t="shared" si="104"/>
        <v>26766</v>
      </c>
      <c r="BO41" s="43">
        <f>BO35-BO40</f>
        <v>31846</v>
      </c>
      <c r="BP41" s="43">
        <f>BP35-BP40</f>
        <v>25934</v>
      </c>
      <c r="BQ41" s="43">
        <f t="shared" ref="BQ41:BR41" si="105">BQ35-BQ40</f>
        <v>33822</v>
      </c>
      <c r="BR41" s="43">
        <f t="shared" si="105"/>
        <v>40770.700000000004</v>
      </c>
      <c r="BS41" s="43"/>
      <c r="BT41" s="43"/>
      <c r="BU41" s="43"/>
      <c r="BV41" s="43"/>
      <c r="BW41" s="43"/>
      <c r="BX41" s="43">
        <v>-26</v>
      </c>
      <c r="BY41" s="43">
        <v>2</v>
      </c>
      <c r="BZ41" s="43">
        <v>3</v>
      </c>
      <c r="CA41" s="43">
        <v>49</v>
      </c>
      <c r="CB41" s="43">
        <v>27</v>
      </c>
      <c r="CC41" s="43">
        <f>-63-41-45+78+9-2-2+7</f>
        <v>-59</v>
      </c>
      <c r="CD41" s="43">
        <f>-38-44+7-32-31+4+5+12</f>
        <v>-117</v>
      </c>
      <c r="CE41" s="43"/>
      <c r="CF41" s="43"/>
      <c r="CG41" s="43"/>
      <c r="CH41" s="43"/>
      <c r="CI41" s="43">
        <f t="shared" ref="CI41:CP41" si="106">CI35-CI40</f>
        <v>14592</v>
      </c>
      <c r="CJ41" s="43">
        <f t="shared" si="106"/>
        <v>18891</v>
      </c>
      <c r="CK41" s="43">
        <f>CK35-CK40</f>
        <v>22374</v>
      </c>
      <c r="CL41" s="43">
        <f>CL35-CL40</f>
        <v>29474</v>
      </c>
      <c r="CM41" s="43">
        <f t="shared" si="106"/>
        <v>0</v>
      </c>
      <c r="CN41" s="43">
        <f t="shared" si="106"/>
        <v>34492</v>
      </c>
      <c r="CO41" s="43">
        <f t="shared" si="106"/>
        <v>49444</v>
      </c>
      <c r="CP41" s="43">
        <f t="shared" si="106"/>
        <v>48432</v>
      </c>
      <c r="CQ41" s="45">
        <f>CQ35-CQ40</f>
        <v>47926</v>
      </c>
      <c r="CR41" s="45">
        <f t="shared" ref="CR41:CX41" si="107">CR35-CR40</f>
        <v>46096</v>
      </c>
      <c r="CS41" s="45">
        <f t="shared" si="107"/>
        <v>52483</v>
      </c>
      <c r="CT41" s="45">
        <f t="shared" si="107"/>
        <v>54126</v>
      </c>
      <c r="CU41" s="45">
        <f t="shared" si="107"/>
        <v>58644</v>
      </c>
      <c r="CV41" s="45">
        <f t="shared" si="107"/>
        <v>74809</v>
      </c>
      <c r="CW41" s="45">
        <f>CW35-CW40</f>
        <v>102574</v>
      </c>
      <c r="CX41" s="45">
        <f t="shared" si="107"/>
        <v>132372.69999999998</v>
      </c>
      <c r="CY41" s="45">
        <f t="shared" ref="CY41:DD41" si="108">CY35-CY40</f>
        <v>185167.76550000001</v>
      </c>
      <c r="CZ41" s="45">
        <f t="shared" si="108"/>
        <v>293757.28547500004</v>
      </c>
      <c r="DA41" s="45">
        <f t="shared" si="108"/>
        <v>368731.3904012501</v>
      </c>
      <c r="DB41" s="45">
        <f t="shared" si="108"/>
        <v>434564.88435618754</v>
      </c>
      <c r="DC41" s="45">
        <f t="shared" si="108"/>
        <v>507121.77802350326</v>
      </c>
      <c r="DD41" s="45">
        <f t="shared" si="108"/>
        <v>570845.89658209053</v>
      </c>
      <c r="DE41" s="45">
        <f t="shared" ref="DE41:DI41" si="109">DE35-DE40</f>
        <v>436896.48920835473</v>
      </c>
      <c r="DF41" s="45">
        <f t="shared" si="109"/>
        <v>345830.71937765507</v>
      </c>
      <c r="DG41" s="45">
        <f t="shared" si="109"/>
        <v>290944.00682834303</v>
      </c>
      <c r="DH41" s="45">
        <f t="shared" si="109"/>
        <v>256660.0294736397</v>
      </c>
      <c r="DI41" s="45">
        <f t="shared" si="109"/>
        <v>229597.41981506898</v>
      </c>
      <c r="DJ41" s="39"/>
      <c r="DK41" s="39"/>
      <c r="DL41" s="39"/>
      <c r="DM41" s="39"/>
      <c r="DN41" s="39"/>
      <c r="DO41" s="39"/>
      <c r="DP41" s="39"/>
      <c r="DQ41" s="39"/>
      <c r="DR41" s="39"/>
      <c r="DS41" s="39"/>
      <c r="DT41" s="39"/>
      <c r="DU41" s="39"/>
      <c r="DV41" s="39"/>
      <c r="DW41" s="39"/>
      <c r="DX41" s="39"/>
      <c r="DY41" s="39"/>
      <c r="DZ41" s="39"/>
      <c r="EA41" s="39"/>
      <c r="EB41" s="39"/>
      <c r="EC41" s="39"/>
      <c r="ED41" s="39"/>
      <c r="EE41" s="39"/>
      <c r="EF41" s="39"/>
      <c r="EG41" s="39"/>
      <c r="EH41" s="39"/>
      <c r="EI41" s="39"/>
      <c r="EJ41" s="39"/>
      <c r="EK41" s="39"/>
      <c r="EL41" s="39"/>
      <c r="EM41" s="39"/>
      <c r="EN41" s="39"/>
      <c r="EO41" s="39"/>
    </row>
    <row r="42" spans="1:145" ht="12.95" customHeight="1">
      <c r="A42" s="40"/>
      <c r="B42" s="46" t="s">
        <v>195</v>
      </c>
      <c r="C42" s="43">
        <v>-67</v>
      </c>
      <c r="D42" s="43">
        <v>-3</v>
      </c>
      <c r="E42" s="43">
        <v>-58</v>
      </c>
      <c r="F42" s="43">
        <v>4</v>
      </c>
      <c r="G42" s="43">
        <v>-35</v>
      </c>
      <c r="H42" s="43">
        <v>-11</v>
      </c>
      <c r="I42" s="43">
        <v>-7</v>
      </c>
      <c r="J42" s="43">
        <v>-2</v>
      </c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/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3"/>
      <c r="BU42" s="43"/>
      <c r="BV42" s="43"/>
      <c r="BW42" s="43"/>
      <c r="BX42" s="43">
        <v>379</v>
      </c>
      <c r="BY42" s="43">
        <v>218</v>
      </c>
      <c r="BZ42" s="43">
        <v>539</v>
      </c>
      <c r="CA42" s="43">
        <v>368</v>
      </c>
      <c r="CB42" s="43">
        <v>555</v>
      </c>
      <c r="CC42" s="43">
        <f>421+446+177+438</f>
        <v>1482</v>
      </c>
      <c r="CD42" s="43">
        <f>178+104+125+491</f>
        <v>898</v>
      </c>
      <c r="CE42" s="37"/>
      <c r="CF42" s="37"/>
      <c r="CG42" s="37"/>
      <c r="CH42" s="37"/>
      <c r="CI42" s="37"/>
      <c r="CJ42" s="43"/>
      <c r="CK42" s="37"/>
      <c r="CL42" s="37"/>
      <c r="CM42" s="43"/>
      <c r="CN42" s="43"/>
      <c r="CO42" s="43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39"/>
      <c r="DF42" s="39"/>
      <c r="DG42" s="39"/>
      <c r="DH42" s="39"/>
      <c r="DI42" s="39"/>
      <c r="DJ42" s="39"/>
      <c r="DK42" s="39"/>
      <c r="DL42" s="39"/>
      <c r="DM42" s="39"/>
      <c r="DN42" s="39"/>
      <c r="DO42" s="39"/>
      <c r="DP42" s="39"/>
      <c r="DQ42" s="39"/>
      <c r="DR42" s="39"/>
      <c r="DS42" s="39"/>
      <c r="DT42" s="39"/>
      <c r="DU42" s="39"/>
      <c r="DV42" s="39"/>
      <c r="DW42" s="39"/>
      <c r="DX42" s="39"/>
      <c r="DY42" s="39"/>
      <c r="DZ42" s="39"/>
      <c r="EA42" s="39"/>
      <c r="EB42" s="39"/>
      <c r="EC42" s="39"/>
      <c r="ED42" s="39"/>
      <c r="EE42" s="39"/>
      <c r="EF42" s="39"/>
      <c r="EG42" s="39"/>
      <c r="EH42" s="39"/>
      <c r="EI42" s="39"/>
      <c r="EJ42" s="39"/>
      <c r="EK42" s="39"/>
      <c r="EL42" s="39"/>
      <c r="EM42" s="39"/>
      <c r="EN42" s="39"/>
      <c r="EO42" s="39"/>
    </row>
    <row r="43" spans="1:145" ht="12.95" customHeight="1">
      <c r="A43" s="40"/>
      <c r="B43" s="46" t="s">
        <v>138</v>
      </c>
      <c r="C43" s="43">
        <v>474</v>
      </c>
      <c r="D43" s="43">
        <v>429</v>
      </c>
      <c r="E43" s="43">
        <v>306</v>
      </c>
      <c r="F43" s="43">
        <v>-82</v>
      </c>
      <c r="G43" s="43">
        <v>142</v>
      </c>
      <c r="H43" s="43">
        <v>166</v>
      </c>
      <c r="I43" s="43">
        <v>9</v>
      </c>
      <c r="J43" s="43">
        <v>58</v>
      </c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43">
        <v>256</v>
      </c>
      <c r="AC43" s="43"/>
      <c r="AD43" s="43"/>
      <c r="AE43" s="43"/>
      <c r="AF43" s="43"/>
      <c r="AG43" s="43"/>
      <c r="AH43" s="43"/>
      <c r="AI43" s="43"/>
      <c r="AJ43" s="43"/>
      <c r="AK43" s="43"/>
      <c r="AL43" s="43"/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3"/>
      <c r="BU43" s="43"/>
      <c r="BV43" s="43"/>
      <c r="BW43" s="43"/>
      <c r="BX43" s="43">
        <v>-110</v>
      </c>
      <c r="BY43" s="43">
        <v>-398</v>
      </c>
      <c r="BZ43" s="43">
        <v>-361</v>
      </c>
      <c r="CA43" s="43">
        <v>-132</v>
      </c>
      <c r="CB43" s="43">
        <v>-181</v>
      </c>
      <c r="CC43" s="43">
        <f>-133-116-103-117</f>
        <v>-469</v>
      </c>
      <c r="CD43" s="43">
        <f>-22-44-52-186</f>
        <v>-304</v>
      </c>
      <c r="CE43" s="37"/>
      <c r="CF43" s="37"/>
      <c r="CG43" s="37"/>
      <c r="CH43" s="37"/>
      <c r="CI43" s="37"/>
      <c r="CJ43" s="43"/>
      <c r="CK43" s="43"/>
      <c r="CL43" s="43"/>
      <c r="CM43" s="43"/>
      <c r="CN43" s="43"/>
      <c r="CO43" s="43"/>
      <c r="CP43" s="45"/>
      <c r="CQ43" s="45"/>
      <c r="CR43" s="45"/>
      <c r="CS43" s="45">
        <v>-3930</v>
      </c>
      <c r="CT43" s="45">
        <v>-996</v>
      </c>
      <c r="CU43" s="45"/>
      <c r="CV43" s="45"/>
      <c r="CW43" s="45"/>
      <c r="CX43" s="45"/>
      <c r="CY43" s="45"/>
      <c r="CZ43" s="45"/>
      <c r="DA43" s="45"/>
      <c r="DB43" s="45"/>
      <c r="DC43" s="45"/>
      <c r="DD43" s="45"/>
      <c r="DE43" s="39"/>
      <c r="DF43" s="39"/>
      <c r="DG43" s="39"/>
      <c r="DH43" s="39"/>
      <c r="DI43" s="39"/>
      <c r="DJ43" s="39"/>
      <c r="DK43" s="39"/>
      <c r="DL43" s="39"/>
      <c r="DM43" s="39"/>
      <c r="DN43" s="39"/>
      <c r="DO43" s="39"/>
      <c r="DP43" s="39"/>
      <c r="DQ43" s="39"/>
      <c r="DR43" s="39"/>
      <c r="DS43" s="39"/>
      <c r="DT43" s="39"/>
      <c r="DU43" s="39"/>
      <c r="DV43" s="39"/>
      <c r="DW43" s="39"/>
      <c r="DX43" s="39"/>
      <c r="DY43" s="39"/>
      <c r="DZ43" s="39"/>
      <c r="EA43" s="39"/>
      <c r="EB43" s="39"/>
      <c r="EC43" s="39"/>
      <c r="ED43" s="39"/>
      <c r="EE43" s="39"/>
      <c r="EF43" s="39"/>
      <c r="EG43" s="39"/>
      <c r="EH43" s="39"/>
      <c r="EI43" s="39"/>
      <c r="EJ43" s="39"/>
      <c r="EK43" s="39"/>
      <c r="EL43" s="39"/>
      <c r="EM43" s="39"/>
      <c r="EN43" s="39"/>
      <c r="EO43" s="39"/>
    </row>
    <row r="44" spans="1:145" ht="12.95" customHeight="1">
      <c r="A44" s="40"/>
      <c r="B44" s="46" t="s">
        <v>139</v>
      </c>
      <c r="C44" s="43">
        <v>368</v>
      </c>
      <c r="D44" s="43">
        <v>-21</v>
      </c>
      <c r="E44" s="43">
        <v>66</v>
      </c>
      <c r="F44" s="43">
        <v>-226</v>
      </c>
      <c r="G44" s="43">
        <v>-412</v>
      </c>
      <c r="H44" s="43">
        <v>-361</v>
      </c>
      <c r="I44" s="43">
        <v>-209</v>
      </c>
      <c r="J44" s="43">
        <v>-283</v>
      </c>
      <c r="K44" s="43">
        <v>-65</v>
      </c>
      <c r="L44" s="43">
        <f>-4+146-575</f>
        <v>-433</v>
      </c>
      <c r="M44" s="43">
        <f>-22+31-477</f>
        <v>-468</v>
      </c>
      <c r="N44" s="43">
        <f>+M44</f>
        <v>-468</v>
      </c>
      <c r="O44" s="43">
        <f>84-212</f>
        <v>-128</v>
      </c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  <c r="AA44" s="43"/>
      <c r="AB44" s="38"/>
      <c r="AC44" s="43"/>
      <c r="AD44" s="43"/>
      <c r="AE44" s="43"/>
      <c r="AF44" s="43"/>
      <c r="AG44" s="43"/>
      <c r="AH44" s="43"/>
      <c r="AI44" s="43"/>
      <c r="AJ44" s="43"/>
      <c r="AK44" s="43"/>
      <c r="AL44" s="43"/>
      <c r="AM44" s="43"/>
      <c r="AN44" s="43"/>
      <c r="AO44" s="43"/>
      <c r="AP44" s="43"/>
      <c r="AQ44" s="43">
        <f>1198-37</f>
        <v>1161</v>
      </c>
      <c r="AR44" s="43">
        <f>1039-745</f>
        <v>294</v>
      </c>
      <c r="AS44" s="43">
        <f>-78-597</f>
        <v>-675</v>
      </c>
      <c r="AT44" s="43">
        <v>-413</v>
      </c>
      <c r="AU44" s="43">
        <f>13-1030</f>
        <v>-1017</v>
      </c>
      <c r="AV44" s="43">
        <f>15-1322</f>
        <v>-1307</v>
      </c>
      <c r="AW44" s="43">
        <f>17-829</f>
        <v>-812</v>
      </c>
      <c r="AX44" s="43">
        <v>794</v>
      </c>
      <c r="AY44" s="43">
        <v>1281</v>
      </c>
      <c r="AZ44" s="43">
        <v>422</v>
      </c>
      <c r="BA44" s="43">
        <v>117</v>
      </c>
      <c r="BB44" s="43">
        <v>-824</v>
      </c>
      <c r="BC44" s="43">
        <v>-956</v>
      </c>
      <c r="BD44" s="43">
        <f>-90-48</f>
        <v>-138</v>
      </c>
      <c r="BE44" s="43">
        <v>137</v>
      </c>
      <c r="BF44" s="43">
        <v>521</v>
      </c>
      <c r="BG44" s="43">
        <v>1228</v>
      </c>
      <c r="BH44" s="43">
        <f>-1656+3252</f>
        <v>1596</v>
      </c>
      <c r="BI44" s="43">
        <f>-1573+3725</f>
        <v>2152</v>
      </c>
      <c r="BJ44" s="43">
        <v>771</v>
      </c>
      <c r="BK44" s="43">
        <v>270</v>
      </c>
      <c r="BL44" s="43">
        <v>-366</v>
      </c>
      <c r="BM44" s="43">
        <v>-1150</v>
      </c>
      <c r="BN44" s="43">
        <v>-854</v>
      </c>
      <c r="BO44" s="43">
        <v>-72</v>
      </c>
      <c r="BP44" s="43">
        <f>960-1562</f>
        <v>-602</v>
      </c>
      <c r="BQ44" s="43">
        <v>-562</v>
      </c>
      <c r="BR44" s="43">
        <f>AVERAGE(BN44:BQ44)</f>
        <v>-522.5</v>
      </c>
      <c r="BS44" s="43"/>
      <c r="BT44" s="43"/>
      <c r="BU44" s="43"/>
      <c r="BV44" s="43"/>
      <c r="BW44" s="43"/>
      <c r="BX44" s="43">
        <f t="shared" ref="BX44:CD44" si="110">BX40+SUM(BX41:BX43)</f>
        <v>3176</v>
      </c>
      <c r="BY44" s="43">
        <f t="shared" si="110"/>
        <v>3349</v>
      </c>
      <c r="BZ44" s="43">
        <f t="shared" si="110"/>
        <v>4884</v>
      </c>
      <c r="CA44" s="43">
        <f t="shared" si="110"/>
        <v>5695</v>
      </c>
      <c r="CB44" s="43">
        <f t="shared" si="110"/>
        <v>6328</v>
      </c>
      <c r="CC44" s="43">
        <f t="shared" si="110"/>
        <v>954</v>
      </c>
      <c r="CD44" s="43">
        <f t="shared" si="110"/>
        <v>477</v>
      </c>
      <c r="CE44" s="37"/>
      <c r="CF44" s="37"/>
      <c r="CG44" s="37"/>
      <c r="CH44" s="37"/>
      <c r="CI44" s="37"/>
      <c r="CJ44" s="43">
        <f>1452-2057</f>
        <v>-605</v>
      </c>
      <c r="CK44" s="43">
        <f>514-963</f>
        <v>-449</v>
      </c>
      <c r="CL44" s="43">
        <f>125-1788</f>
        <v>-1663</v>
      </c>
      <c r="CM44" s="43"/>
      <c r="CN44" s="43">
        <f>167-563</f>
        <v>-396</v>
      </c>
      <c r="CO44" s="43">
        <f>85-6046</f>
        <v>-5961</v>
      </c>
      <c r="CP44" s="45">
        <f>92-726</f>
        <v>-634</v>
      </c>
      <c r="CQ44" s="45"/>
      <c r="CR44" s="45"/>
      <c r="CS44" s="45"/>
      <c r="CT44" s="45"/>
      <c r="CU44" s="45">
        <f t="shared" ref="CU44" si="111">SUM(BC44:BF44)</f>
        <v>-436</v>
      </c>
      <c r="CV44" s="45">
        <f t="shared" ref="CV44:CV46" si="112">SUM(BG44:BJ44)</f>
        <v>5747</v>
      </c>
      <c r="CW44" s="45">
        <f t="shared" ref="CW44" si="113">SUM(BK44:BN44)</f>
        <v>-2100</v>
      </c>
      <c r="CX44" s="45">
        <f t="shared" ref="CX44" si="114">SUM(BO44:BR44)</f>
        <v>-1758.5</v>
      </c>
      <c r="CY44" s="45">
        <f>+CX67*$DM$49</f>
        <v>-512.15560000000005</v>
      </c>
      <c r="CZ44" s="45">
        <f t="shared" ref="CZ44:DI44" si="115">+CY67*$DM$49</f>
        <v>-1997.5949688000001</v>
      </c>
      <c r="DA44" s="45">
        <f t="shared" si="115"/>
        <v>-4363.6340123504006</v>
      </c>
      <c r="DB44" s="45">
        <f t="shared" si="115"/>
        <v>-7348.3942076592048</v>
      </c>
      <c r="DC44" s="45">
        <f t="shared" si="115"/>
        <v>-10883.700436169978</v>
      </c>
      <c r="DD44" s="45">
        <f t="shared" si="115"/>
        <v>-15027.744263847364</v>
      </c>
      <c r="DE44" s="45">
        <f t="shared" si="115"/>
        <v>-19714.733390614867</v>
      </c>
      <c r="DF44" s="45">
        <f t="shared" si="115"/>
        <v>-23367.62317140662</v>
      </c>
      <c r="DG44" s="45">
        <f t="shared" si="115"/>
        <v>-26321.209911799117</v>
      </c>
      <c r="DH44" s="45">
        <f t="shared" si="115"/>
        <v>-28859.331645720253</v>
      </c>
      <c r="DI44" s="45">
        <f t="shared" si="115"/>
        <v>-31143.486534675132</v>
      </c>
      <c r="DJ44" s="39"/>
      <c r="DK44" s="39"/>
      <c r="DL44" s="39"/>
      <c r="DM44" s="39"/>
      <c r="DN44" s="39"/>
      <c r="DO44" s="39"/>
      <c r="DP44" s="39"/>
      <c r="DQ44" s="39"/>
      <c r="DR44" s="39"/>
      <c r="DS44" s="39"/>
      <c r="DT44" s="39"/>
      <c r="DU44" s="39"/>
      <c r="DV44" s="39"/>
      <c r="DW44" s="39"/>
      <c r="DX44" s="39"/>
      <c r="DY44" s="39"/>
      <c r="DZ44" s="39"/>
      <c r="EA44" s="39"/>
      <c r="EB44" s="39"/>
      <c r="EC44" s="39"/>
      <c r="ED44" s="39"/>
      <c r="EE44" s="39"/>
      <c r="EF44" s="39"/>
      <c r="EG44" s="39"/>
      <c r="EH44" s="39"/>
      <c r="EI44" s="39"/>
      <c r="EJ44" s="39"/>
      <c r="EK44" s="39"/>
      <c r="EL44" s="39"/>
      <c r="EM44" s="39"/>
      <c r="EN44" s="39"/>
      <c r="EO44" s="39"/>
    </row>
    <row r="45" spans="1:145" ht="12.95" customHeight="1">
      <c r="A45" s="40"/>
      <c r="B45" s="46" t="s">
        <v>193</v>
      </c>
      <c r="C45" s="43">
        <f t="shared" ref="C45:O45" si="116">SUM(C41:C44)</f>
        <v>3824</v>
      </c>
      <c r="D45" s="43">
        <f t="shared" si="116"/>
        <v>3406</v>
      </c>
      <c r="E45" s="43">
        <f t="shared" si="116"/>
        <v>3588</v>
      </c>
      <c r="F45" s="43">
        <f t="shared" si="116"/>
        <v>3070</v>
      </c>
      <c r="G45" s="43">
        <f t="shared" si="116"/>
        <v>3505</v>
      </c>
      <c r="H45" s="43">
        <f t="shared" si="116"/>
        <v>3884</v>
      </c>
      <c r="I45" s="43">
        <f t="shared" si="116"/>
        <v>3607</v>
      </c>
      <c r="J45" s="43">
        <f t="shared" si="116"/>
        <v>2992</v>
      </c>
      <c r="K45" s="43">
        <f t="shared" si="116"/>
        <v>4317</v>
      </c>
      <c r="L45" s="43">
        <f t="shared" si="116"/>
        <v>4608</v>
      </c>
      <c r="M45" s="43">
        <f t="shared" si="116"/>
        <v>4656</v>
      </c>
      <c r="N45" s="43">
        <f t="shared" si="116"/>
        <v>4907.2000000000007</v>
      </c>
      <c r="O45" s="43">
        <f t="shared" si="116"/>
        <v>5290</v>
      </c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>
        <f>+AB43+AB41</f>
        <v>8581</v>
      </c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>
        <f>+AQ44+AQ41</f>
        <v>13609</v>
      </c>
      <c r="AR45" s="43">
        <f>+AR44+AR41</f>
        <v>12498</v>
      </c>
      <c r="AS45" s="43">
        <f>+AS44+AS41</f>
        <v>11138</v>
      </c>
      <c r="AT45" s="43">
        <f>+AT44+AT41</f>
        <v>10370</v>
      </c>
      <c r="AU45" s="43">
        <f>+AU41+AU44</f>
        <v>13222</v>
      </c>
      <c r="AV45" s="43">
        <f>+AV41+AV44</f>
        <v>12145</v>
      </c>
      <c r="AW45" s="43">
        <f>+AW41+AW44</f>
        <v>12107</v>
      </c>
      <c r="AX45" s="43">
        <f t="shared" ref="AX45:BB45" si="117">AX41-AX44</f>
        <v>11079</v>
      </c>
      <c r="AY45" s="43">
        <f t="shared" si="117"/>
        <v>15021</v>
      </c>
      <c r="AZ45" s="43">
        <f t="shared" si="117"/>
        <v>13416</v>
      </c>
      <c r="BA45" s="43">
        <f t="shared" si="117"/>
        <v>12691</v>
      </c>
      <c r="BB45" s="43">
        <f t="shared" si="117"/>
        <v>12002</v>
      </c>
      <c r="BC45" s="43">
        <f>BC41-BC44</f>
        <v>15938</v>
      </c>
      <c r="BD45" s="43">
        <f>BD41-BD44</f>
        <v>14917</v>
      </c>
      <c r="BE45" s="43">
        <f t="shared" ref="BE45:BR45" si="118">BE41-BE44</f>
        <v>15112</v>
      </c>
      <c r="BF45" s="43">
        <f t="shared" si="118"/>
        <v>13113</v>
      </c>
      <c r="BG45" s="43">
        <f t="shared" si="118"/>
        <v>17919</v>
      </c>
      <c r="BH45" s="43">
        <f t="shared" si="118"/>
        <v>16795</v>
      </c>
      <c r="BI45" s="43">
        <f t="shared" si="118"/>
        <v>18032</v>
      </c>
      <c r="BJ45" s="43">
        <f t="shared" si="118"/>
        <v>16316</v>
      </c>
      <c r="BK45" s="43">
        <f t="shared" si="118"/>
        <v>24737</v>
      </c>
      <c r="BL45" s="43">
        <f t="shared" si="118"/>
        <v>24254</v>
      </c>
      <c r="BM45" s="43">
        <f t="shared" si="118"/>
        <v>28063</v>
      </c>
      <c r="BN45" s="43">
        <f t="shared" si="118"/>
        <v>27620</v>
      </c>
      <c r="BO45" s="43">
        <f t="shared" si="118"/>
        <v>31918</v>
      </c>
      <c r="BP45" s="43">
        <f>+BP41+BP44</f>
        <v>25332</v>
      </c>
      <c r="BQ45" s="43">
        <f t="shared" si="118"/>
        <v>34384</v>
      </c>
      <c r="BR45" s="43">
        <f t="shared" si="118"/>
        <v>41293.200000000004</v>
      </c>
      <c r="BS45" s="43"/>
      <c r="BT45" s="43"/>
      <c r="BU45" s="43"/>
      <c r="BV45" s="43"/>
      <c r="BW45" s="43"/>
      <c r="BX45" s="43">
        <v>-1160</v>
      </c>
      <c r="BY45" s="43">
        <v>-1348</v>
      </c>
      <c r="BZ45" s="43">
        <v>-1730</v>
      </c>
      <c r="CA45" s="43">
        <v>-2075</v>
      </c>
      <c r="CB45" s="43">
        <v>-2212</v>
      </c>
      <c r="CC45" s="43"/>
      <c r="CD45" s="43"/>
      <c r="CE45" s="43"/>
      <c r="CF45" s="43"/>
      <c r="CG45" s="43"/>
      <c r="CH45" s="43"/>
      <c r="CI45" s="43">
        <f t="shared" ref="CI45:CM45" si="119">CI41+SUM(CI42:CI44)</f>
        <v>14592</v>
      </c>
      <c r="CJ45" s="43">
        <f t="shared" si="119"/>
        <v>18286</v>
      </c>
      <c r="CK45" s="43">
        <f t="shared" si="119"/>
        <v>21925</v>
      </c>
      <c r="CL45" s="43">
        <f t="shared" si="119"/>
        <v>27811</v>
      </c>
      <c r="CM45" s="43">
        <f t="shared" si="119"/>
        <v>0</v>
      </c>
      <c r="CN45" s="43">
        <f>CN41+SUM(CN42:CN44)</f>
        <v>34096</v>
      </c>
      <c r="CO45" s="43">
        <f>CO41+SUM(CO42:CO44)</f>
        <v>43483</v>
      </c>
      <c r="CP45" s="43">
        <f>CP41+SUM(CP42:CP44)</f>
        <v>47798</v>
      </c>
      <c r="CQ45" s="45"/>
      <c r="CR45" s="45"/>
      <c r="CS45" s="45">
        <f>+CS41+CS43</f>
        <v>48553</v>
      </c>
      <c r="CT45" s="45">
        <f>+CT41+CT43</f>
        <v>53130</v>
      </c>
      <c r="CU45" s="45">
        <f t="shared" ref="CU45:CW45" si="120">+CU41-CU44</f>
        <v>59080</v>
      </c>
      <c r="CV45" s="45">
        <f t="shared" si="120"/>
        <v>69062</v>
      </c>
      <c r="CW45" s="45">
        <f t="shared" si="120"/>
        <v>104674</v>
      </c>
      <c r="CX45" s="45">
        <f>+CX41-CX44</f>
        <v>134131.19999999998</v>
      </c>
      <c r="CY45" s="45">
        <f>+CY41-CY44</f>
        <v>185679.92110000001</v>
      </c>
      <c r="CZ45" s="45">
        <f t="shared" ref="CZ45:DD45" si="121">+CZ41-CZ44</f>
        <v>295754.88044380007</v>
      </c>
      <c r="DA45" s="45">
        <f t="shared" si="121"/>
        <v>373095.02441360051</v>
      </c>
      <c r="DB45" s="45">
        <f t="shared" si="121"/>
        <v>441913.27856384672</v>
      </c>
      <c r="DC45" s="45">
        <f t="shared" si="121"/>
        <v>518005.47845967324</v>
      </c>
      <c r="DD45" s="45">
        <f t="shared" si="121"/>
        <v>585873.64084593789</v>
      </c>
      <c r="DE45" s="45">
        <f t="shared" ref="DE45:DI45" si="122">+DE41-DE44</f>
        <v>456611.22259896959</v>
      </c>
      <c r="DF45" s="45">
        <f t="shared" si="122"/>
        <v>369198.34254906169</v>
      </c>
      <c r="DG45" s="45">
        <f t="shared" si="122"/>
        <v>317265.21674014215</v>
      </c>
      <c r="DH45" s="45">
        <f t="shared" si="122"/>
        <v>285519.36111935996</v>
      </c>
      <c r="DI45" s="45">
        <f t="shared" si="122"/>
        <v>260740.90634974412</v>
      </c>
      <c r="DJ45" s="39"/>
      <c r="DK45" s="39"/>
      <c r="DL45" s="39"/>
      <c r="DM45" s="39"/>
      <c r="DN45" s="39"/>
      <c r="DO45" s="39"/>
      <c r="DP45" s="39"/>
      <c r="DQ45" s="39"/>
      <c r="DR45" s="39"/>
      <c r="DS45" s="39"/>
      <c r="DT45" s="39"/>
      <c r="DU45" s="39"/>
      <c r="DV45" s="39"/>
      <c r="DW45" s="39"/>
      <c r="DX45" s="39"/>
      <c r="DY45" s="39"/>
      <c r="DZ45" s="39"/>
      <c r="EA45" s="39"/>
      <c r="EB45" s="39"/>
      <c r="EC45" s="39"/>
      <c r="ED45" s="39"/>
      <c r="EE45" s="39"/>
      <c r="EF45" s="39"/>
      <c r="EG45" s="39"/>
      <c r="EH45" s="39"/>
      <c r="EI45" s="39"/>
      <c r="EJ45" s="39"/>
      <c r="EK45" s="39"/>
      <c r="EL45" s="39"/>
      <c r="EM45" s="39"/>
      <c r="EN45" s="39"/>
      <c r="EO45" s="39"/>
    </row>
    <row r="46" spans="1:145" ht="12.95" customHeight="1">
      <c r="A46" s="40"/>
      <c r="B46" s="46" t="s">
        <v>198</v>
      </c>
      <c r="C46" s="43">
        <f t="shared" ref="C46:J46" si="123">C45-C47</f>
        <v>1644</v>
      </c>
      <c r="D46" s="43">
        <f t="shared" si="123"/>
        <v>935</v>
      </c>
      <c r="E46" s="43">
        <f t="shared" si="123"/>
        <v>924</v>
      </c>
      <c r="F46" s="43">
        <f t="shared" si="123"/>
        <v>740</v>
      </c>
      <c r="G46" s="43">
        <f t="shared" si="123"/>
        <v>806</v>
      </c>
      <c r="H46" s="43">
        <f t="shared" si="123"/>
        <v>893</v>
      </c>
      <c r="I46" s="43">
        <f t="shared" si="123"/>
        <v>852</v>
      </c>
      <c r="J46" s="43">
        <f t="shared" si="123"/>
        <v>669</v>
      </c>
      <c r="K46" s="43">
        <v>993</v>
      </c>
      <c r="L46" s="43">
        <v>1060</v>
      </c>
      <c r="M46" s="43">
        <v>1071</v>
      </c>
      <c r="N46" s="43">
        <f>+N45*0.25</f>
        <v>1226.8000000000002</v>
      </c>
      <c r="O46" s="43">
        <f>O45-O47</f>
        <v>1217</v>
      </c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>
        <f>+AB45-6994</f>
        <v>1587</v>
      </c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>
        <v>2858</v>
      </c>
      <c r="AR46" s="43">
        <v>2155</v>
      </c>
      <c r="AS46" s="43">
        <v>2101</v>
      </c>
      <c r="AT46" s="43">
        <v>1873</v>
      </c>
      <c r="AU46" s="43">
        <v>2777</v>
      </c>
      <c r="AV46" s="43">
        <v>2550</v>
      </c>
      <c r="AW46" s="43">
        <v>1913</v>
      </c>
      <c r="AX46" s="43">
        <v>2362</v>
      </c>
      <c r="AY46" s="43">
        <v>3124</v>
      </c>
      <c r="AZ46" s="43">
        <v>2791</v>
      </c>
      <c r="BA46" s="43">
        <v>2393</v>
      </c>
      <c r="BB46" s="43">
        <v>2684</v>
      </c>
      <c r="BC46" s="43">
        <v>3315</v>
      </c>
      <c r="BD46" s="43">
        <v>2794</v>
      </c>
      <c r="BE46" s="43">
        <v>2993</v>
      </c>
      <c r="BF46" s="43">
        <v>2221</v>
      </c>
      <c r="BG46" s="43">
        <v>3709</v>
      </c>
      <c r="BH46" s="43">
        <v>3477</v>
      </c>
      <c r="BI46" s="43">
        <v>3627</v>
      </c>
      <c r="BJ46" s="43">
        <v>2724</v>
      </c>
      <c r="BK46" s="43">
        <v>4923</v>
      </c>
      <c r="BL46" s="43">
        <v>4826</v>
      </c>
      <c r="BM46" s="43">
        <v>5585</v>
      </c>
      <c r="BN46" s="43">
        <v>5657</v>
      </c>
      <c r="BO46" s="43">
        <v>6511</v>
      </c>
      <c r="BP46" s="43">
        <v>5282</v>
      </c>
      <c r="BQ46" s="43">
        <v>7083</v>
      </c>
      <c r="BR46" s="43">
        <f>+BR45*0.2</f>
        <v>8258.6400000000012</v>
      </c>
      <c r="BS46" s="43"/>
      <c r="BT46" s="43"/>
      <c r="BU46" s="43"/>
      <c r="BV46" s="43"/>
      <c r="BW46" s="43"/>
      <c r="BX46" s="43">
        <f t="shared" ref="BX46:CD46" si="124">BX44+BX45</f>
        <v>2016</v>
      </c>
      <c r="BY46" s="43">
        <f t="shared" si="124"/>
        <v>2001</v>
      </c>
      <c r="BZ46" s="43">
        <f t="shared" si="124"/>
        <v>3154</v>
      </c>
      <c r="CA46" s="43">
        <f t="shared" si="124"/>
        <v>3620</v>
      </c>
      <c r="CB46" s="43">
        <f t="shared" si="124"/>
        <v>4116</v>
      </c>
      <c r="CC46" s="43">
        <f t="shared" si="124"/>
        <v>954</v>
      </c>
      <c r="CD46" s="43">
        <f t="shared" si="124"/>
        <v>477</v>
      </c>
      <c r="CE46" s="37"/>
      <c r="CF46" s="37"/>
      <c r="CG46" s="37"/>
      <c r="CH46" s="37"/>
      <c r="CI46" s="43">
        <f>+CI45*0.35</f>
        <v>5107.2</v>
      </c>
      <c r="CJ46" s="43">
        <v>3883</v>
      </c>
      <c r="CK46" s="43">
        <v>4828</v>
      </c>
      <c r="CL46" s="43">
        <v>6379</v>
      </c>
      <c r="CM46" s="43"/>
      <c r="CN46" s="43">
        <v>7615</v>
      </c>
      <c r="CO46" s="43">
        <v>8623</v>
      </c>
      <c r="CP46" s="45">
        <v>9873</v>
      </c>
      <c r="CQ46" s="45"/>
      <c r="CR46" s="45"/>
      <c r="CS46" s="45">
        <v>9602</v>
      </c>
      <c r="CT46" s="45">
        <v>10992</v>
      </c>
      <c r="CU46" s="45">
        <f t="shared" ref="CU46" si="125">SUM(BC46:BF46)</f>
        <v>11323</v>
      </c>
      <c r="CV46" s="45">
        <f t="shared" si="112"/>
        <v>13537</v>
      </c>
      <c r="CW46" s="45">
        <f>SUM(BK46:BN46)</f>
        <v>20991</v>
      </c>
      <c r="CX46" s="45">
        <f>SUM(BO46:BR46)</f>
        <v>27134.639999999999</v>
      </c>
      <c r="CY46" s="45">
        <f>+CY45*0.2</f>
        <v>37135.984220000006</v>
      </c>
      <c r="CZ46" s="45">
        <f t="shared" ref="CZ46:DD46" si="126">+CZ45*0.2</f>
        <v>59150.976088760013</v>
      </c>
      <c r="DA46" s="45">
        <f t="shared" si="126"/>
        <v>74619.00488272011</v>
      </c>
      <c r="DB46" s="45">
        <f t="shared" si="126"/>
        <v>88382.655712769352</v>
      </c>
      <c r="DC46" s="45">
        <f t="shared" si="126"/>
        <v>103601.09569193465</v>
      </c>
      <c r="DD46" s="45">
        <f t="shared" si="126"/>
        <v>117174.72816918758</v>
      </c>
      <c r="DE46" s="45">
        <f t="shared" ref="DE46:DI46" si="127">+DE45*0.2</f>
        <v>91322.244519793923</v>
      </c>
      <c r="DF46" s="45">
        <f t="shared" si="127"/>
        <v>73839.668509812342</v>
      </c>
      <c r="DG46" s="45">
        <f t="shared" si="127"/>
        <v>63453.043348028434</v>
      </c>
      <c r="DH46" s="45">
        <f t="shared" si="127"/>
        <v>57103.872223871993</v>
      </c>
      <c r="DI46" s="45">
        <f t="shared" si="127"/>
        <v>52148.181269948829</v>
      </c>
      <c r="DJ46" s="39"/>
      <c r="DK46" s="39"/>
      <c r="DL46" s="39"/>
      <c r="DM46" s="39"/>
      <c r="DN46" s="39"/>
      <c r="DO46" s="39"/>
      <c r="DP46" s="39"/>
      <c r="DQ46" s="39"/>
      <c r="DR46" s="39"/>
      <c r="DS46" s="39"/>
      <c r="DT46" s="39"/>
      <c r="DU46" s="39"/>
      <c r="DV46" s="39"/>
      <c r="DW46" s="39"/>
      <c r="DX46" s="39"/>
      <c r="DY46" s="39"/>
      <c r="DZ46" s="39"/>
      <c r="EA46" s="39"/>
      <c r="EB46" s="39"/>
      <c r="EC46" s="39"/>
      <c r="ED46" s="39"/>
      <c r="EE46" s="39"/>
      <c r="EF46" s="39"/>
      <c r="EG46" s="39"/>
      <c r="EH46" s="39"/>
      <c r="EI46" s="39"/>
      <c r="EJ46" s="39"/>
      <c r="EK46" s="39"/>
      <c r="EL46" s="39"/>
      <c r="EM46" s="39"/>
      <c r="EN46" s="39"/>
      <c r="EO46" s="39"/>
    </row>
    <row r="47" spans="1:145" ht="12.95" customHeight="1">
      <c r="A47" s="40"/>
      <c r="B47" s="46" t="s">
        <v>194</v>
      </c>
      <c r="C47" s="43">
        <v>2180</v>
      </c>
      <c r="D47" s="43">
        <v>2471</v>
      </c>
      <c r="E47" s="43">
        <v>2664</v>
      </c>
      <c r="F47" s="43">
        <v>2330</v>
      </c>
      <c r="G47" s="43">
        <v>2699</v>
      </c>
      <c r="H47" s="43">
        <v>2991</v>
      </c>
      <c r="I47" s="43">
        <v>2755</v>
      </c>
      <c r="J47" s="43">
        <v>2323</v>
      </c>
      <c r="K47" s="43">
        <f>+K45-K46</f>
        <v>3324</v>
      </c>
      <c r="L47" s="43">
        <f>+L45-L46</f>
        <v>3548</v>
      </c>
      <c r="M47" s="43">
        <f>+M45-M46</f>
        <v>3585</v>
      </c>
      <c r="N47" s="43">
        <f>+N45-N46</f>
        <v>3680.4000000000005</v>
      </c>
      <c r="O47" s="43">
        <f>4073</f>
        <v>4073</v>
      </c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  <c r="AA47" s="43"/>
      <c r="AB47" s="43">
        <f>+AB45-AB46</f>
        <v>6994</v>
      </c>
      <c r="AC47" s="43"/>
      <c r="AD47" s="43"/>
      <c r="AE47" s="43"/>
      <c r="AF47" s="43"/>
      <c r="AG47" s="43"/>
      <c r="AH47" s="43"/>
      <c r="AI47" s="43"/>
      <c r="AJ47" s="43"/>
      <c r="AK47" s="43"/>
      <c r="AL47" s="43"/>
      <c r="AM47" s="43"/>
      <c r="AN47" s="43"/>
      <c r="AO47" s="43"/>
      <c r="AP47" s="43"/>
      <c r="AQ47" s="43">
        <f>+AQ45-AQ46</f>
        <v>10751</v>
      </c>
      <c r="AR47" s="43">
        <f>+AR45-AR46</f>
        <v>10343</v>
      </c>
      <c r="AS47" s="43">
        <f>+AS45-AS46</f>
        <v>9037</v>
      </c>
      <c r="AT47" s="43">
        <f>+AT45-AT46</f>
        <v>8497</v>
      </c>
      <c r="AU47" s="43">
        <f t="shared" ref="AU47:AW47" si="128">AU45-AU46</f>
        <v>10445</v>
      </c>
      <c r="AV47" s="43">
        <f t="shared" si="128"/>
        <v>9595</v>
      </c>
      <c r="AW47" s="43">
        <f t="shared" si="128"/>
        <v>10194</v>
      </c>
      <c r="AX47" s="43">
        <f t="shared" ref="AX47:BB47" si="129">AX45-AX46</f>
        <v>8717</v>
      </c>
      <c r="AY47" s="43">
        <f t="shared" si="129"/>
        <v>11897</v>
      </c>
      <c r="AZ47" s="43">
        <f t="shared" si="129"/>
        <v>10625</v>
      </c>
      <c r="BA47" s="43">
        <f t="shared" si="129"/>
        <v>10298</v>
      </c>
      <c r="BB47" s="43">
        <f t="shared" si="129"/>
        <v>9318</v>
      </c>
      <c r="BC47" s="43">
        <f>BC45-BC46</f>
        <v>12623</v>
      </c>
      <c r="BD47" s="43">
        <f>BD45-BD46</f>
        <v>12123</v>
      </c>
      <c r="BE47" s="43">
        <f t="shared" ref="BE47:BG47" si="130">BE45-BE46</f>
        <v>12119</v>
      </c>
      <c r="BF47" s="43">
        <f t="shared" si="130"/>
        <v>10892</v>
      </c>
      <c r="BG47" s="43">
        <f t="shared" si="130"/>
        <v>14210</v>
      </c>
      <c r="BH47" s="43">
        <f>BH45-BH46</f>
        <v>13318</v>
      </c>
      <c r="BI47" s="43">
        <f t="shared" ref="BI47:BR47" si="131">BI45-BI46</f>
        <v>14405</v>
      </c>
      <c r="BJ47" s="43">
        <f t="shared" si="131"/>
        <v>13592</v>
      </c>
      <c r="BK47" s="43">
        <f t="shared" si="131"/>
        <v>19814</v>
      </c>
      <c r="BL47" s="43">
        <f t="shared" si="131"/>
        <v>19428</v>
      </c>
      <c r="BM47" s="43">
        <f t="shared" si="131"/>
        <v>22478</v>
      </c>
      <c r="BN47" s="43">
        <f t="shared" si="131"/>
        <v>21963</v>
      </c>
      <c r="BO47" s="43">
        <f t="shared" si="131"/>
        <v>25407</v>
      </c>
      <c r="BP47" s="43">
        <f t="shared" si="131"/>
        <v>20050</v>
      </c>
      <c r="BQ47" s="43">
        <f t="shared" si="131"/>
        <v>27301</v>
      </c>
      <c r="BR47" s="43">
        <f t="shared" si="131"/>
        <v>33034.560000000005</v>
      </c>
      <c r="BS47" s="43"/>
      <c r="BT47" s="43"/>
      <c r="BU47" s="43"/>
      <c r="BV47" s="43"/>
      <c r="BW47" s="43"/>
      <c r="BX47" s="11">
        <f t="shared" ref="BX47:CB47" si="132">BX46/BX48</f>
        <v>5.4339622641509431</v>
      </c>
      <c r="BY47" s="11">
        <f t="shared" si="132"/>
        <v>5.5909784351966199</v>
      </c>
      <c r="BZ47" s="11">
        <f t="shared" si="132"/>
        <v>9.0298275927642493</v>
      </c>
      <c r="CA47" s="11">
        <f t="shared" si="132"/>
        <v>10.449736117774917</v>
      </c>
      <c r="CB47" s="11">
        <f t="shared" si="132"/>
        <v>11.849703476124272</v>
      </c>
      <c r="CC47" s="11"/>
      <c r="CD47" s="11"/>
      <c r="CE47" s="43"/>
      <c r="CF47" s="43"/>
      <c r="CG47" s="43"/>
      <c r="CH47" s="43"/>
      <c r="CI47" s="43">
        <f t="shared" ref="CI47:CP47" si="133">CI45-CI46</f>
        <v>9484.7999999999993</v>
      </c>
      <c r="CJ47" s="43">
        <f>CJ45-CJ46</f>
        <v>14403</v>
      </c>
      <c r="CK47" s="43">
        <f t="shared" si="133"/>
        <v>17097</v>
      </c>
      <c r="CL47" s="43">
        <f t="shared" si="133"/>
        <v>21432</v>
      </c>
      <c r="CM47" s="43">
        <f t="shared" si="133"/>
        <v>0</v>
      </c>
      <c r="CN47" s="43">
        <f t="shared" si="133"/>
        <v>26481</v>
      </c>
      <c r="CO47" s="43">
        <f t="shared" si="133"/>
        <v>34860</v>
      </c>
      <c r="CP47" s="43">
        <f t="shared" si="133"/>
        <v>37925</v>
      </c>
      <c r="CQ47" s="45"/>
      <c r="CR47" s="45"/>
      <c r="CS47" s="45">
        <f t="shared" ref="CS47:DI47" si="134">+CS45-CS46</f>
        <v>38951</v>
      </c>
      <c r="CT47" s="45">
        <f t="shared" si="134"/>
        <v>42138</v>
      </c>
      <c r="CU47" s="45">
        <f t="shared" si="134"/>
        <v>47757</v>
      </c>
      <c r="CV47" s="45">
        <f t="shared" si="134"/>
        <v>55525</v>
      </c>
      <c r="CW47" s="45">
        <f t="shared" si="134"/>
        <v>83683</v>
      </c>
      <c r="CX47" s="45">
        <f t="shared" si="134"/>
        <v>106996.55999999998</v>
      </c>
      <c r="CY47" s="45">
        <f t="shared" si="134"/>
        <v>148543.93687999999</v>
      </c>
      <c r="CZ47" s="45">
        <f t="shared" si="134"/>
        <v>236603.90435504005</v>
      </c>
      <c r="DA47" s="45">
        <f t="shared" si="134"/>
        <v>298476.01953088038</v>
      </c>
      <c r="DB47" s="45">
        <f t="shared" si="134"/>
        <v>353530.62285107735</v>
      </c>
      <c r="DC47" s="45">
        <f t="shared" si="134"/>
        <v>414404.3827677386</v>
      </c>
      <c r="DD47" s="45">
        <f t="shared" si="134"/>
        <v>468698.91267675033</v>
      </c>
      <c r="DE47" s="45">
        <f t="shared" si="134"/>
        <v>365288.97807917569</v>
      </c>
      <c r="DF47" s="45">
        <f t="shared" si="134"/>
        <v>295358.67403924937</v>
      </c>
      <c r="DG47" s="45">
        <f t="shared" si="134"/>
        <v>253812.17339211371</v>
      </c>
      <c r="DH47" s="45">
        <f t="shared" si="134"/>
        <v>228415.48889548797</v>
      </c>
      <c r="DI47" s="45">
        <f t="shared" si="134"/>
        <v>208592.72507979529</v>
      </c>
      <c r="DJ47" s="45">
        <f t="shared" ref="DJ47:EO47" si="135">DI47*(1+$DM$50)</f>
        <v>206506.79782899734</v>
      </c>
      <c r="DK47" s="45">
        <f t="shared" si="135"/>
        <v>204441.72985070737</v>
      </c>
      <c r="DL47" s="45">
        <f t="shared" si="135"/>
        <v>202397.31255220031</v>
      </c>
      <c r="DM47" s="45">
        <f t="shared" si="135"/>
        <v>200373.33942667831</v>
      </c>
      <c r="DN47" s="45">
        <f t="shared" si="135"/>
        <v>198369.60603241154</v>
      </c>
      <c r="DO47" s="45">
        <f t="shared" si="135"/>
        <v>196385.90997208742</v>
      </c>
      <c r="DP47" s="45">
        <f t="shared" si="135"/>
        <v>194422.05087236656</v>
      </c>
      <c r="DQ47" s="45">
        <f t="shared" si="135"/>
        <v>192477.83036364289</v>
      </c>
      <c r="DR47" s="45">
        <f t="shared" si="135"/>
        <v>190553.05206000645</v>
      </c>
      <c r="DS47" s="45">
        <f t="shared" si="135"/>
        <v>188647.52153940639</v>
      </c>
      <c r="DT47" s="45">
        <f t="shared" si="135"/>
        <v>186761.04632401231</v>
      </c>
      <c r="DU47" s="45">
        <f t="shared" si="135"/>
        <v>184893.43586077218</v>
      </c>
      <c r="DV47" s="45">
        <f t="shared" si="135"/>
        <v>183044.50150216446</v>
      </c>
      <c r="DW47" s="45">
        <f t="shared" si="135"/>
        <v>181214.05648714281</v>
      </c>
      <c r="DX47" s="45">
        <f t="shared" si="135"/>
        <v>179401.91592227138</v>
      </c>
      <c r="DY47" s="45">
        <f t="shared" si="135"/>
        <v>177607.89676304866</v>
      </c>
      <c r="DZ47" s="45">
        <f t="shared" si="135"/>
        <v>175831.81779541817</v>
      </c>
      <c r="EA47" s="45">
        <f t="shared" si="135"/>
        <v>174073.499617464</v>
      </c>
      <c r="EB47" s="45">
        <f t="shared" si="135"/>
        <v>172332.76462128936</v>
      </c>
      <c r="EC47" s="45">
        <f t="shared" si="135"/>
        <v>170609.43697507647</v>
      </c>
      <c r="ED47" s="45">
        <f t="shared" si="135"/>
        <v>168903.34260532571</v>
      </c>
      <c r="EE47" s="45">
        <f t="shared" si="135"/>
        <v>167214.30917927244</v>
      </c>
      <c r="EF47" s="45">
        <f t="shared" si="135"/>
        <v>165542.16608747971</v>
      </c>
      <c r="EG47" s="45">
        <f t="shared" si="135"/>
        <v>163886.74442660491</v>
      </c>
      <c r="EH47" s="45">
        <f t="shared" si="135"/>
        <v>162247.87698233887</v>
      </c>
      <c r="EI47" s="45">
        <f t="shared" si="135"/>
        <v>160625.39821251549</v>
      </c>
      <c r="EJ47" s="45">
        <f t="shared" si="135"/>
        <v>159019.14423039032</v>
      </c>
      <c r="EK47" s="45">
        <f t="shared" si="135"/>
        <v>157428.9527880864</v>
      </c>
      <c r="EL47" s="45">
        <f t="shared" si="135"/>
        <v>155854.66326020553</v>
      </c>
      <c r="EM47" s="45">
        <f t="shared" si="135"/>
        <v>154296.11662760348</v>
      </c>
      <c r="EN47" s="45">
        <f t="shared" si="135"/>
        <v>152753.15546132743</v>
      </c>
      <c r="EO47" s="45">
        <f t="shared" si="135"/>
        <v>151225.62390671417</v>
      </c>
    </row>
    <row r="48" spans="1:145" s="12" customFormat="1" ht="12.95" customHeight="1">
      <c r="A48" s="8"/>
      <c r="B48" s="9" t="s">
        <v>140</v>
      </c>
      <c r="C48" s="11">
        <f t="shared" ref="C48:J48" si="136">C47/C49</f>
        <v>3.4807600191601473</v>
      </c>
      <c r="D48" s="11">
        <f t="shared" si="136"/>
        <v>3.994503718073068</v>
      </c>
      <c r="E48" s="11">
        <f t="shared" si="136"/>
        <v>4.3359375</v>
      </c>
      <c r="F48" s="11">
        <f t="shared" si="136"/>
        <v>3.7923177083333335</v>
      </c>
      <c r="G48" s="11">
        <f t="shared" si="136"/>
        <v>4.4050922147870084</v>
      </c>
      <c r="H48" s="11">
        <f t="shared" si="136"/>
        <v>4.9202171409771349</v>
      </c>
      <c r="I48" s="11">
        <f t="shared" si="136"/>
        <v>4.5809777186564684</v>
      </c>
      <c r="J48" s="11">
        <f t="shared" si="136"/>
        <v>3.9028897849462361</v>
      </c>
      <c r="K48" s="11">
        <f>K47/K49</f>
        <v>5.6053962900505905</v>
      </c>
      <c r="L48" s="11">
        <f>L47/L49</f>
        <v>6.0247919850568863</v>
      </c>
      <c r="M48" s="11">
        <f>M47/M49</f>
        <v>6.156620298815044</v>
      </c>
      <c r="N48" s="11">
        <f>N47/N49</f>
        <v>6.2064080944350772</v>
      </c>
      <c r="O48" s="11">
        <f>O47/O49</f>
        <v>7.1256123163051086</v>
      </c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>
        <f>AB47/AB49</f>
        <v>2.6522563519150548</v>
      </c>
      <c r="AC48" s="11"/>
      <c r="AD48" s="11"/>
      <c r="AE48" s="11"/>
      <c r="AF48" s="11"/>
      <c r="AG48" s="11"/>
      <c r="AH48" s="11"/>
      <c r="AI48" s="11"/>
      <c r="AJ48" s="11"/>
      <c r="AK48" s="11"/>
      <c r="AL48" s="11"/>
      <c r="AM48" s="11"/>
      <c r="AN48" s="11"/>
      <c r="AO48" s="11"/>
      <c r="AP48" s="11"/>
      <c r="AQ48" s="11">
        <f t="shared" ref="AQ48:AT48" si="137">AQ47/AQ49</f>
        <v>4.4019981165295006</v>
      </c>
      <c r="AR48" s="11">
        <f t="shared" si="137"/>
        <v>4.2548027479534332</v>
      </c>
      <c r="AS48" s="11">
        <f t="shared" si="137"/>
        <v>3.7355324074074079</v>
      </c>
      <c r="AT48" s="11">
        <f t="shared" si="137"/>
        <v>3.5314409209924777</v>
      </c>
      <c r="AU48" s="11">
        <f t="shared" ref="AU48:AW48" si="138">AU47/AU49</f>
        <v>4.3618976029399485</v>
      </c>
      <c r="AV48" s="11">
        <f t="shared" si="138"/>
        <v>4.0255926159009858</v>
      </c>
      <c r="AW48" s="11">
        <f t="shared" si="138"/>
        <v>4.2954660374178326</v>
      </c>
      <c r="AX48" s="11">
        <f t="shared" ref="AX48:BB48" si="139">AX47/AX49</f>
        <v>3.6884864384547029</v>
      </c>
      <c r="AY48" s="11">
        <f t="shared" si="139"/>
        <v>5.0522337353490743</v>
      </c>
      <c r="AZ48" s="11">
        <f t="shared" si="139"/>
        <v>4.5311100686596442</v>
      </c>
      <c r="BA48" s="11">
        <f t="shared" si="139"/>
        <v>4.4100895036615135</v>
      </c>
      <c r="BB48" s="11">
        <f t="shared" si="139"/>
        <v>4.0075695669003482</v>
      </c>
      <c r="BC48" s="11">
        <f>BC47/BC49</f>
        <v>5.451286923475557</v>
      </c>
      <c r="BD48" s="11">
        <f>BD47/BD49</f>
        <v>5.256471404413996</v>
      </c>
      <c r="BE48" s="11">
        <f t="shared" ref="BE48:BG48" si="140">BE47/BE49</f>
        <v>5.2753232055021106</v>
      </c>
      <c r="BF48" s="11">
        <f t="shared" si="140"/>
        <v>4.7550860036671621</v>
      </c>
      <c r="BG48" s="11">
        <f t="shared" si="140"/>
        <v>3.1117242587483025</v>
      </c>
      <c r="BH48" s="11">
        <f>BH47/BH49</f>
        <v>2.9256183823206361</v>
      </c>
      <c r="BI48" s="11">
        <f t="shared" ref="BI48:BR48" si="141">BI47/BI49</f>
        <v>3.1750055102490631</v>
      </c>
      <c r="BJ48" s="11">
        <f t="shared" si="141"/>
        <v>3.0052180065446183</v>
      </c>
      <c r="BK48" s="11">
        <f t="shared" si="141"/>
        <v>4.3902330940352741</v>
      </c>
      <c r="BL48" s="11">
        <f t="shared" si="141"/>
        <v>4.3148403144849636</v>
      </c>
      <c r="BM48" s="11">
        <f t="shared" si="141"/>
        <v>5.0073513031855645</v>
      </c>
      <c r="BN48" s="11">
        <f t="shared" si="141"/>
        <v>4.905302184303391</v>
      </c>
      <c r="BO48" s="11">
        <f t="shared" si="141"/>
        <v>5.6832569063863101</v>
      </c>
      <c r="BP48" s="11">
        <f t="shared" si="141"/>
        <v>4.4900792762126578</v>
      </c>
      <c r="BQ48" s="11">
        <f t="shared" si="141"/>
        <v>6.1206142809102122</v>
      </c>
      <c r="BR48" s="11">
        <f t="shared" si="141"/>
        <v>7.4060217464409828</v>
      </c>
      <c r="BS48" s="11"/>
      <c r="BT48" s="11"/>
      <c r="BU48" s="11"/>
      <c r="BV48" s="11"/>
      <c r="BW48" s="10"/>
      <c r="BX48" s="43">
        <v>371</v>
      </c>
      <c r="BY48" s="43">
        <v>357.89800000000002</v>
      </c>
      <c r="BZ48" s="43">
        <v>349.28684602210484</v>
      </c>
      <c r="CA48" s="43">
        <v>346.42023101831342</v>
      </c>
      <c r="CB48" s="43">
        <v>347.35046394141801</v>
      </c>
      <c r="CC48" s="43"/>
      <c r="CD48" s="43"/>
      <c r="CE48" s="10"/>
      <c r="CF48" s="10"/>
      <c r="CG48" s="10"/>
      <c r="CH48" s="10"/>
      <c r="CI48" s="10"/>
      <c r="CJ48" s="11">
        <f t="shared" ref="CJ48:CL48" si="142">CJ47/CJ49</f>
        <v>24.600453988798879</v>
      </c>
      <c r="CK48" s="11">
        <f t="shared" si="142"/>
        <v>29.987792300730359</v>
      </c>
      <c r="CL48" s="11">
        <f t="shared" si="142"/>
        <v>38.849452931835813</v>
      </c>
      <c r="CM48" s="11"/>
      <c r="CN48" s="11"/>
      <c r="CO48" s="11"/>
      <c r="CU48" s="65">
        <f>+CU47/CU49</f>
        <v>20.741818497687248</v>
      </c>
      <c r="CV48" s="65">
        <f>+CV47/CV49</f>
        <v>12.21766252626715</v>
      </c>
      <c r="CW48" s="65">
        <f>+CW47/CW49</f>
        <v>18.614630023022769</v>
      </c>
      <c r="CX48" s="65">
        <f>+CX47/CX49</f>
        <v>23.967555398753419</v>
      </c>
      <c r="CY48" s="65">
        <f>+CY47/CY49</f>
        <v>33.274294391523718</v>
      </c>
      <c r="CZ48" s="65">
        <f t="shared" ref="CZ48:DI48" si="143">+CZ47/CZ49</f>
        <v>52.999995375466071</v>
      </c>
      <c r="DA48" s="65">
        <f t="shared" si="143"/>
        <v>66.859537664629443</v>
      </c>
      <c r="DB48" s="65">
        <f t="shared" si="143"/>
        <v>79.191936528978118</v>
      </c>
      <c r="DC48" s="65">
        <f t="shared" si="143"/>
        <v>92.827844198654546</v>
      </c>
      <c r="DD48" s="65">
        <f t="shared" si="143"/>
        <v>104.98998430337859</v>
      </c>
      <c r="DE48" s="65">
        <f t="shared" si="143"/>
        <v>81.82584392121268</v>
      </c>
      <c r="DF48" s="65">
        <f t="shared" si="143"/>
        <v>66.16124277769363</v>
      </c>
      <c r="DG48" s="65">
        <f t="shared" si="143"/>
        <v>56.854700063754329</v>
      </c>
      <c r="DH48" s="65">
        <f t="shared" si="143"/>
        <v>51.165765366998293</v>
      </c>
      <c r="DI48" s="65">
        <f t="shared" si="143"/>
        <v>46.725405883394153</v>
      </c>
    </row>
    <row r="49" spans="1:145" ht="12.95" customHeight="1">
      <c r="B49" s="46" t="s">
        <v>11</v>
      </c>
      <c r="C49" s="43">
        <v>626.29999999999995</v>
      </c>
      <c r="D49" s="43">
        <v>618.6</v>
      </c>
      <c r="E49" s="43">
        <v>614.4</v>
      </c>
      <c r="F49" s="43">
        <v>614.4</v>
      </c>
      <c r="G49" s="43">
        <v>612.70000000000005</v>
      </c>
      <c r="H49" s="43">
        <v>607.9</v>
      </c>
      <c r="I49" s="43">
        <v>601.4</v>
      </c>
      <c r="J49" s="43">
        <v>595.20000000000005</v>
      </c>
      <c r="K49" s="43">
        <v>593</v>
      </c>
      <c r="L49" s="43">
        <v>588.9</v>
      </c>
      <c r="M49" s="43">
        <v>582.29999999999995</v>
      </c>
      <c r="N49" s="43">
        <v>593</v>
      </c>
      <c r="O49" s="43">
        <v>571.6</v>
      </c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  <c r="AA49" s="43"/>
      <c r="AB49" s="43">
        <v>2637</v>
      </c>
      <c r="AC49" s="43"/>
      <c r="AD49" s="43"/>
      <c r="AE49" s="43"/>
      <c r="AF49" s="43"/>
      <c r="AG49" s="43"/>
      <c r="AH49" s="43"/>
      <c r="AI49" s="43"/>
      <c r="AJ49" s="43"/>
      <c r="AK49" s="43"/>
      <c r="AL49" s="43"/>
      <c r="AM49" s="43"/>
      <c r="AN49" s="43"/>
      <c r="AO49" s="43"/>
      <c r="AP49" s="43"/>
      <c r="AQ49" s="43">
        <v>2442.3000000000002</v>
      </c>
      <c r="AR49" s="43">
        <v>2430.9</v>
      </c>
      <c r="AS49" s="43">
        <v>2419.1999999999998</v>
      </c>
      <c r="AT49" s="43">
        <v>2406.1</v>
      </c>
      <c r="AU49" s="43">
        <v>2394.6</v>
      </c>
      <c r="AV49" s="43">
        <v>2383.5</v>
      </c>
      <c r="AW49" s="43">
        <v>2373.1999999999998</v>
      </c>
      <c r="AX49" s="43">
        <v>2363.3000000000002</v>
      </c>
      <c r="AY49" s="43">
        <v>2354.8000000000002</v>
      </c>
      <c r="AZ49" s="43">
        <v>2344.9</v>
      </c>
      <c r="BA49" s="43">
        <v>2335.1</v>
      </c>
      <c r="BB49" s="43">
        <v>2325.1</v>
      </c>
      <c r="BC49" s="43">
        <v>2315.6</v>
      </c>
      <c r="BD49" s="43">
        <v>2306.3000000000002</v>
      </c>
      <c r="BE49" s="43">
        <v>2297.3000000000002</v>
      </c>
      <c r="BF49" s="43">
        <v>2290.6</v>
      </c>
      <c r="BG49" s="43">
        <v>4566.6000000000004</v>
      </c>
      <c r="BH49" s="43">
        <v>4552.2</v>
      </c>
      <c r="BI49" s="43">
        <v>4537</v>
      </c>
      <c r="BJ49" s="43">
        <v>4522.8</v>
      </c>
      <c r="BK49" s="43">
        <v>4513.2</v>
      </c>
      <c r="BL49" s="43">
        <v>4502.6000000000004</v>
      </c>
      <c r="BM49" s="43">
        <v>4489</v>
      </c>
      <c r="BN49" s="43">
        <v>4477.3999999999996</v>
      </c>
      <c r="BO49" s="43">
        <v>4470.5</v>
      </c>
      <c r="BP49" s="43">
        <v>4465.3999999999996</v>
      </c>
      <c r="BQ49" s="43">
        <v>4460.5</v>
      </c>
      <c r="BR49" s="43">
        <f>+BQ49</f>
        <v>4460.5</v>
      </c>
      <c r="BS49" s="43"/>
      <c r="BT49" s="43"/>
      <c r="BU49" s="43"/>
      <c r="BV49" s="43"/>
      <c r="BW49" s="47"/>
      <c r="BX49" s="43">
        <f>BX46</f>
        <v>2016</v>
      </c>
      <c r="BY49" s="43">
        <f t="shared" ref="BY49:CD49" si="144">BY46</f>
        <v>2001</v>
      </c>
      <c r="BZ49" s="43">
        <f t="shared" si="144"/>
        <v>3154</v>
      </c>
      <c r="CA49" s="43">
        <f t="shared" si="144"/>
        <v>3620</v>
      </c>
      <c r="CB49" s="43">
        <f t="shared" si="144"/>
        <v>4116</v>
      </c>
      <c r="CC49" s="43">
        <f t="shared" si="144"/>
        <v>954</v>
      </c>
      <c r="CD49" s="43">
        <f t="shared" si="144"/>
        <v>477</v>
      </c>
      <c r="CE49" s="43"/>
      <c r="CF49" s="43"/>
      <c r="CG49" s="43"/>
      <c r="CH49" s="43"/>
      <c r="CI49" s="43"/>
      <c r="CJ49" s="43">
        <v>585.47699999999998</v>
      </c>
      <c r="CK49" s="43">
        <v>570.13199999999995</v>
      </c>
      <c r="CL49" s="43">
        <v>551.66800000000001</v>
      </c>
      <c r="CM49" s="43"/>
      <c r="CN49" s="43">
        <v>2630.2179999999998</v>
      </c>
      <c r="CO49" s="43">
        <v>2577.6979999999999</v>
      </c>
      <c r="CP49" s="45">
        <v>2534.7289999999998</v>
      </c>
      <c r="CS49" s="39"/>
      <c r="CT49" s="39"/>
      <c r="CU49" s="45">
        <f>AVERAGE(BC49:BF49)</f>
        <v>2302.4499999999998</v>
      </c>
      <c r="CV49" s="45">
        <f>AVERAGE(BG49:BJ49)</f>
        <v>4544.6499999999996</v>
      </c>
      <c r="CW49" s="45">
        <f>AVERAGE(BK49:BN49)</f>
        <v>4495.5499999999993</v>
      </c>
      <c r="CX49" s="45">
        <f>AVERAGE(BO49:BR49)</f>
        <v>4464.2250000000004</v>
      </c>
      <c r="CY49" s="45">
        <f>+CX49</f>
        <v>4464.2250000000004</v>
      </c>
      <c r="CZ49" s="45">
        <f t="shared" ref="CZ49:DI49" si="145">+CY49</f>
        <v>4464.2250000000004</v>
      </c>
      <c r="DA49" s="45">
        <f t="shared" si="145"/>
        <v>4464.2250000000004</v>
      </c>
      <c r="DB49" s="45">
        <f t="shared" si="145"/>
        <v>4464.2250000000004</v>
      </c>
      <c r="DC49" s="45">
        <f t="shared" si="145"/>
        <v>4464.2250000000004</v>
      </c>
      <c r="DD49" s="45">
        <f t="shared" si="145"/>
        <v>4464.2250000000004</v>
      </c>
      <c r="DE49" s="45">
        <f t="shared" si="145"/>
        <v>4464.2250000000004</v>
      </c>
      <c r="DF49" s="45">
        <f t="shared" si="145"/>
        <v>4464.2250000000004</v>
      </c>
      <c r="DG49" s="45">
        <f t="shared" si="145"/>
        <v>4464.2250000000004</v>
      </c>
      <c r="DH49" s="45">
        <f t="shared" si="145"/>
        <v>4464.2250000000004</v>
      </c>
      <c r="DI49" s="45">
        <f t="shared" si="145"/>
        <v>4464.2250000000004</v>
      </c>
      <c r="DJ49" s="39"/>
      <c r="DK49" s="39"/>
      <c r="DL49" s="36" t="s">
        <v>572</v>
      </c>
      <c r="DM49" s="49">
        <v>-0.01</v>
      </c>
      <c r="DN49" s="39"/>
      <c r="DO49" s="39"/>
      <c r="DP49" s="39"/>
      <c r="DQ49" s="39"/>
      <c r="DR49" s="39"/>
      <c r="DS49" s="39"/>
      <c r="DT49" s="39"/>
      <c r="DU49" s="39"/>
      <c r="DV49" s="39"/>
      <c r="DW49" s="39"/>
      <c r="DX49" s="39"/>
      <c r="DY49" s="39"/>
      <c r="DZ49" s="39"/>
      <c r="EA49" s="39"/>
      <c r="EB49" s="39"/>
      <c r="EC49" s="39"/>
      <c r="ED49" s="39"/>
      <c r="EE49" s="39"/>
      <c r="EF49" s="39"/>
      <c r="EG49" s="39"/>
      <c r="EH49" s="39"/>
      <c r="EI49" s="39"/>
      <c r="EJ49" s="39"/>
      <c r="EK49" s="39"/>
      <c r="EL49" s="39"/>
      <c r="EM49" s="39"/>
      <c r="EN49" s="39"/>
      <c r="EO49" s="39"/>
    </row>
    <row r="50" spans="1:145" s="5" customFormat="1" ht="12.95" customHeight="1">
      <c r="B50" s="46"/>
      <c r="C50" s="50"/>
      <c r="D50" s="50"/>
      <c r="E50" s="50"/>
      <c r="F50" s="50"/>
      <c r="G50" s="50"/>
      <c r="H50" s="50"/>
      <c r="I50" s="50"/>
      <c r="J50" s="50"/>
      <c r="K50" s="50"/>
      <c r="L50" s="50"/>
      <c r="M50" s="50"/>
      <c r="N50" s="50"/>
      <c r="O50" s="50"/>
      <c r="P50" s="50"/>
      <c r="Q50" s="50"/>
      <c r="R50" s="50"/>
      <c r="S50" s="50"/>
      <c r="T50" s="50"/>
      <c r="U50" s="50"/>
      <c r="V50" s="50"/>
      <c r="W50" s="50"/>
      <c r="X50" s="50"/>
      <c r="Y50" s="50"/>
      <c r="Z50" s="50"/>
      <c r="AA50" s="50"/>
      <c r="AB50" s="50"/>
      <c r="AC50" s="50"/>
      <c r="AD50" s="50"/>
      <c r="AE50" s="50"/>
      <c r="AF50" s="50"/>
      <c r="AG50" s="50"/>
      <c r="AH50" s="50"/>
      <c r="AI50" s="50"/>
      <c r="AJ50" s="50"/>
      <c r="AK50" s="50"/>
      <c r="AL50" s="50"/>
      <c r="AM50" s="50"/>
      <c r="AN50" s="50"/>
      <c r="AO50" s="50"/>
      <c r="AP50" s="50"/>
      <c r="AQ50" s="50"/>
      <c r="AR50" s="50"/>
      <c r="AS50" s="50"/>
      <c r="AT50" s="50"/>
      <c r="AU50" s="50"/>
      <c r="AV50" s="50"/>
      <c r="AW50" s="50"/>
      <c r="AX50" s="50"/>
      <c r="AY50" s="50"/>
      <c r="AZ50" s="50"/>
      <c r="BA50" s="50"/>
      <c r="BB50" s="50"/>
      <c r="BC50" s="50"/>
      <c r="BD50" s="50"/>
      <c r="BE50" s="50"/>
      <c r="BF50" s="50"/>
      <c r="BG50" s="50"/>
      <c r="BH50" s="50"/>
      <c r="BI50" s="50"/>
      <c r="BJ50" s="50"/>
      <c r="BK50" s="50"/>
      <c r="BL50" s="50"/>
      <c r="BM50" s="50"/>
      <c r="BN50" s="50"/>
      <c r="BO50" s="50"/>
      <c r="BP50" s="50"/>
      <c r="BQ50" s="50"/>
      <c r="BR50" s="50"/>
      <c r="BS50" s="50"/>
      <c r="BT50" s="50"/>
      <c r="BU50" s="50"/>
      <c r="BV50" s="50"/>
      <c r="BW50" s="50"/>
      <c r="BX50" s="50"/>
      <c r="BY50" s="50"/>
      <c r="BZ50" s="50"/>
      <c r="CA50" s="50"/>
      <c r="CB50" s="50"/>
      <c r="CC50" s="50"/>
      <c r="CD50" s="50"/>
      <c r="CE50" s="50"/>
      <c r="CF50" s="50"/>
      <c r="CG50" s="50"/>
      <c r="CH50" s="50"/>
      <c r="CI50" s="50"/>
      <c r="CJ50" s="50"/>
      <c r="CK50" s="50"/>
      <c r="CL50" s="50"/>
      <c r="CM50" s="50"/>
      <c r="CN50" s="50"/>
      <c r="CO50" s="50"/>
      <c r="CP50" s="40"/>
      <c r="CS50" s="40"/>
      <c r="CT50" s="40"/>
      <c r="CU50" s="40"/>
      <c r="CV50" s="40"/>
      <c r="CW50" s="40"/>
      <c r="CX50" s="40"/>
      <c r="CY50" s="40"/>
      <c r="CZ50" s="40"/>
      <c r="DA50" s="40"/>
      <c r="DB50" s="40"/>
      <c r="DC50" s="40"/>
      <c r="DD50" s="40"/>
      <c r="DE50" s="40"/>
      <c r="DH50" s="40"/>
      <c r="DI50" s="40"/>
      <c r="DJ50" s="40"/>
      <c r="DK50" s="40"/>
      <c r="DL50" s="48" t="s">
        <v>141</v>
      </c>
      <c r="DM50" s="49">
        <v>-0.01</v>
      </c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ht="12.95" customHeight="1">
      <c r="B51" s="46" t="s">
        <v>144</v>
      </c>
      <c r="C51" s="52"/>
      <c r="D51" s="52"/>
      <c r="E51" s="52"/>
      <c r="F51" s="52"/>
      <c r="G51" s="53">
        <f t="shared" ref="G51:O51" si="146">G33/C33-1</f>
        <v>0.17750141322781232</v>
      </c>
      <c r="H51" s="53">
        <f t="shared" si="146"/>
        <v>0.17020702070207028</v>
      </c>
      <c r="I51" s="53">
        <f t="shared" si="146"/>
        <v>0.11550773608394094</v>
      </c>
      <c r="J51" s="53">
        <f t="shared" si="146"/>
        <v>4.2756099499324574E-2</v>
      </c>
      <c r="K51" s="53">
        <f t="shared" si="146"/>
        <v>9.4095055208833323E-2</v>
      </c>
      <c r="L51" s="53">
        <f t="shared" si="146"/>
        <v>0.18406276440273817</v>
      </c>
      <c r="M51" s="53">
        <f t="shared" si="146"/>
        <v>0.24224790753288161</v>
      </c>
      <c r="N51" s="53">
        <f t="shared" si="146"/>
        <v>0.22886975078119054</v>
      </c>
      <c r="O51" s="53">
        <f t="shared" si="146"/>
        <v>0.14765247915752533</v>
      </c>
      <c r="P51" s="53"/>
      <c r="Q51" s="53"/>
      <c r="R51" s="53"/>
      <c r="S51" s="53"/>
      <c r="T51" s="53"/>
      <c r="U51" s="53"/>
      <c r="V51" s="53"/>
      <c r="W51" s="53"/>
      <c r="X51" s="53"/>
      <c r="Y51" s="53"/>
      <c r="Z51" s="53"/>
      <c r="AA51" s="53"/>
      <c r="AB51" s="53"/>
      <c r="AC51" s="53"/>
      <c r="AD51" s="53"/>
      <c r="AE51" s="53"/>
      <c r="AF51" s="53"/>
      <c r="AG51" s="53"/>
      <c r="AH51" s="53"/>
      <c r="AI51" s="53"/>
      <c r="AJ51" s="53"/>
      <c r="AK51" s="53"/>
      <c r="AL51" s="53"/>
      <c r="AM51" s="53"/>
      <c r="AN51" s="53"/>
      <c r="AO51" s="53"/>
      <c r="AP51" s="53"/>
      <c r="AQ51" s="53">
        <f t="shared" ref="AQ51" si="147">AQ33/AM33-1</f>
        <v>-5.349360326163366E-2</v>
      </c>
      <c r="AR51" s="53">
        <f t="shared" ref="AR51" si="148">AR33/AN33-1</f>
        <v>-4.2984845310426678E-2</v>
      </c>
      <c r="AS51" s="53">
        <f t="shared" ref="AS51" si="149">AS33/AO33-1</f>
        <v>4.3135192004208234E-2</v>
      </c>
      <c r="AT51" s="53">
        <f t="shared" ref="AT51" si="150">AT33/AP33-1</f>
        <v>6.2160617319234168E-2</v>
      </c>
      <c r="AU51" s="53">
        <f t="shared" ref="AU51:AV51" si="151">AU33/AQ33-1</f>
        <v>8.7671741552172389E-2</v>
      </c>
      <c r="AV51" s="53">
        <f t="shared" si="151"/>
        <v>9.5924398876199524E-2</v>
      </c>
      <c r="AW51" s="53">
        <f t="shared" ref="AW51" si="152">AW33/AS33-1</f>
        <v>9.0591455946977817E-2</v>
      </c>
      <c r="AX51" s="53">
        <f t="shared" ref="AX51" si="153">AX33/AT33-1</f>
        <v>9.0306740212565684E-2</v>
      </c>
      <c r="AY51" s="53">
        <f t="shared" ref="AY51" si="154">AY33/AU33-1</f>
        <v>0.15649858318254761</v>
      </c>
      <c r="AZ51" s="53">
        <f t="shared" ref="AZ51" si="155">AZ33/AV33-1</f>
        <v>-9.9880143827402179E-4</v>
      </c>
      <c r="BA51" s="53">
        <f t="shared" ref="BA51:BH51" si="156">BA33/AW33-1</f>
        <v>2.1468441391155002E-2</v>
      </c>
      <c r="BB51" s="53">
        <f t="shared" si="156"/>
        <v>-8.6065953049325739E-3</v>
      </c>
      <c r="BC51" s="53">
        <f t="shared" si="156"/>
        <v>-2.0959409594095701E-3</v>
      </c>
      <c r="BD51" s="53">
        <f t="shared" si="156"/>
        <v>0.10114643737919082</v>
      </c>
      <c r="BE51" s="53">
        <f t="shared" si="156"/>
        <v>0.15180909884566884</v>
      </c>
      <c r="BF51" s="53">
        <f t="shared" si="156"/>
        <v>0.19276246188312895</v>
      </c>
      <c r="BG51" s="53">
        <f t="shared" si="156"/>
        <v>0.24337356525854936</v>
      </c>
      <c r="BH51" s="53">
        <f t="shared" si="156"/>
        <v>0.24890287824218404</v>
      </c>
      <c r="BI51" s="53">
        <f t="shared" ref="BI51:BJ51" si="157">BI33/BE33-1</f>
        <v>0.27915333221043181</v>
      </c>
      <c r="BJ51" s="53">
        <f t="shared" si="157"/>
        <v>0.2545848224767171</v>
      </c>
      <c r="BK51" s="53">
        <f t="shared" ref="BK51:BV51" si="158">BK33/BG33-1</f>
        <v>0.26970569341676387</v>
      </c>
      <c r="BL51" s="53">
        <f t="shared" si="158"/>
        <v>0.31588513267902574</v>
      </c>
      <c r="BM51" s="53">
        <f t="shared" si="158"/>
        <v>0.28892156432427685</v>
      </c>
      <c r="BN51" s="53">
        <f t="shared" si="158"/>
        <v>0.36952091824003985</v>
      </c>
      <c r="BO51" s="53">
        <f t="shared" si="158"/>
        <v>0.22452077126314007</v>
      </c>
      <c r="BP51" s="53">
        <f t="shared" si="158"/>
        <v>0.2534069981583793</v>
      </c>
      <c r="BQ51" s="53">
        <f t="shared" si="158"/>
        <v>0.21419693177368004</v>
      </c>
      <c r="BR51" s="53">
        <f t="shared" si="158"/>
        <v>0.30092768322123198</v>
      </c>
      <c r="BS51" s="53">
        <f t="shared" si="158"/>
        <v>0.2057514269537406</v>
      </c>
      <c r="BT51" s="53">
        <f t="shared" si="158"/>
        <v>0.23007228915662647</v>
      </c>
      <c r="BU51" s="53">
        <f t="shared" si="158"/>
        <v>0.22284906956850969</v>
      </c>
      <c r="BV51" s="53">
        <f t="shared" si="158"/>
        <v>0.18891110255243193</v>
      </c>
      <c r="BW51" s="52"/>
      <c r="BX51" s="52"/>
      <c r="BY51" s="54">
        <f>BY33/BX33-1</f>
        <v>0.20341466989081858</v>
      </c>
      <c r="BZ51" s="54">
        <f>BZ33/BY33-1</f>
        <v>0.24733605309626738</v>
      </c>
      <c r="CA51" s="54">
        <f>CA33/BZ33-1</f>
        <v>0.14156700024408098</v>
      </c>
      <c r="CB51" s="54">
        <f>CB33/CA33-1</f>
        <v>6.333119521060504E-2</v>
      </c>
      <c r="CC51" s="54">
        <f>CC33/CB33-1</f>
        <v>-1</v>
      </c>
      <c r="CD51" s="54"/>
      <c r="CE51" s="54"/>
      <c r="CF51" s="54"/>
      <c r="CG51" s="54"/>
      <c r="CH51" s="54"/>
      <c r="CI51" s="54"/>
      <c r="CJ51" s="54">
        <f t="shared" ref="CJ51:CT51" si="159">CJ33/CI33-1</f>
        <v>0.18784325222319942</v>
      </c>
      <c r="CK51" s="54">
        <f t="shared" si="159"/>
        <v>9.164801895485053E-2</v>
      </c>
      <c r="CL51" s="54">
        <f t="shared" si="159"/>
        <v>0.17604678503602322</v>
      </c>
      <c r="CM51" s="54">
        <f t="shared" si="159"/>
        <v>7.1078871145515699E-2</v>
      </c>
      <c r="CN51" s="54">
        <f t="shared" si="159"/>
        <v>6.262863159910026E-2</v>
      </c>
      <c r="CO51" s="54">
        <f t="shared" si="159"/>
        <v>0.21531202846654507</v>
      </c>
      <c r="CP51" s="54">
        <f t="shared" si="159"/>
        <v>3.5700056519684553E-2</v>
      </c>
      <c r="CQ51" s="54">
        <f t="shared" si="159"/>
        <v>-7.5147611379500212E-4</v>
      </c>
      <c r="CR51" s="54">
        <f t="shared" si="159"/>
        <v>1.208637730984119E-3</v>
      </c>
      <c r="CS51" s="54">
        <f t="shared" si="159"/>
        <v>9.1119635879139071E-2</v>
      </c>
      <c r="CT51" s="54">
        <f t="shared" si="159"/>
        <v>4.0361904918005953E-2</v>
      </c>
      <c r="CU51" s="54">
        <f>CU33/CT33-1</f>
        <v>0.10913301718841084</v>
      </c>
      <c r="CV51" s="54">
        <f>CV33/CU33-1</f>
        <v>0.25677556818181824</v>
      </c>
      <c r="CW51" s="54">
        <f>CW33/CV33-1</f>
        <v>0.31255015427738275</v>
      </c>
      <c r="CX51" s="54">
        <f>CX33/CW33-1</f>
        <v>0.25033044721240327</v>
      </c>
      <c r="CY51" s="54">
        <f t="shared" ref="CY51:DI51" si="160">CY33/CX33-1</f>
        <v>0.21068112244019521</v>
      </c>
      <c r="CZ51" s="54">
        <f t="shared" si="160"/>
        <v>0.21021924458018648</v>
      </c>
      <c r="DA51" s="54">
        <f t="shared" si="160"/>
        <v>0.20729911118780064</v>
      </c>
      <c r="DB51" s="54">
        <f t="shared" si="160"/>
        <v>0.15077112461924602</v>
      </c>
      <c r="DC51" s="54">
        <f t="shared" si="160"/>
        <v>0.14439793906956244</v>
      </c>
      <c r="DD51" s="54">
        <f t="shared" si="160"/>
        <v>0.11081768755375743</v>
      </c>
      <c r="DE51" s="54">
        <f t="shared" si="160"/>
        <v>-0.20970233032134444</v>
      </c>
      <c r="DF51" s="54">
        <f t="shared" si="160"/>
        <v>-0.18039600768381503</v>
      </c>
      <c r="DG51" s="54">
        <f t="shared" si="160"/>
        <v>-0.13265844825920348</v>
      </c>
      <c r="DH51" s="54">
        <f t="shared" si="160"/>
        <v>-9.553637102364676E-2</v>
      </c>
      <c r="DI51" s="54">
        <f t="shared" si="160"/>
        <v>-8.3378889584269866E-2</v>
      </c>
      <c r="DJ51" s="39"/>
      <c r="DK51" s="39"/>
      <c r="DL51" s="71" t="s">
        <v>142</v>
      </c>
      <c r="DM51" s="72">
        <v>0.08</v>
      </c>
      <c r="DN51" s="39"/>
      <c r="DO51" s="39"/>
      <c r="DP51" s="39"/>
      <c r="DQ51" s="39"/>
      <c r="DR51" s="39"/>
      <c r="DS51" s="39"/>
      <c r="DT51" s="39"/>
      <c r="DU51" s="39"/>
      <c r="DV51" s="39"/>
      <c r="DW51" s="39"/>
      <c r="DX51" s="39"/>
      <c r="DY51" s="39"/>
      <c r="DZ51" s="39"/>
      <c r="EA51" s="39"/>
      <c r="EB51" s="39"/>
      <c r="EC51" s="39"/>
      <c r="ED51" s="39"/>
      <c r="EE51" s="39"/>
      <c r="EF51" s="39"/>
      <c r="EG51" s="39"/>
      <c r="EH51" s="39"/>
      <c r="EI51" s="39"/>
      <c r="EJ51" s="39"/>
      <c r="EK51" s="39"/>
      <c r="EL51" s="39"/>
      <c r="EM51" s="39"/>
      <c r="EN51" s="39"/>
      <c r="EO51" s="39"/>
    </row>
    <row r="52" spans="1:145" s="12" customFormat="1" ht="12.95" customHeight="1">
      <c r="A52" s="8"/>
      <c r="B52" s="9" t="s">
        <v>145</v>
      </c>
      <c r="C52" s="67"/>
      <c r="D52" s="67"/>
      <c r="E52" s="67"/>
      <c r="F52" s="67"/>
      <c r="G52" s="68"/>
      <c r="H52" s="68"/>
      <c r="I52" s="68"/>
      <c r="J52" s="68"/>
      <c r="K52" s="68">
        <v>0.11</v>
      </c>
      <c r="L52" s="68"/>
      <c r="M52" s="68"/>
      <c r="N52" s="68"/>
      <c r="O52" s="68"/>
      <c r="P52" s="68"/>
      <c r="Q52" s="68"/>
      <c r="R52" s="68"/>
      <c r="S52" s="68"/>
      <c r="T52" s="68"/>
      <c r="U52" s="68"/>
      <c r="V52" s="68"/>
      <c r="W52" s="68"/>
      <c r="X52" s="68"/>
      <c r="Y52" s="68"/>
      <c r="Z52" s="68"/>
      <c r="AA52" s="68"/>
      <c r="AB52" s="68"/>
      <c r="AC52" s="68"/>
      <c r="AD52" s="68"/>
      <c r="AE52" s="68"/>
      <c r="AF52" s="68"/>
      <c r="AG52" s="68"/>
      <c r="AH52" s="68"/>
      <c r="AI52" s="68"/>
      <c r="AJ52" s="68"/>
      <c r="AK52" s="68"/>
      <c r="AL52" s="68"/>
      <c r="AM52" s="68"/>
      <c r="AN52" s="68"/>
      <c r="AO52" s="68"/>
      <c r="AP52" s="68"/>
      <c r="AQ52" s="69">
        <v>0.05</v>
      </c>
      <c r="AR52" s="69">
        <v>0.02</v>
      </c>
      <c r="AS52" s="69">
        <v>0.05</v>
      </c>
      <c r="AT52" s="69">
        <v>0.06</v>
      </c>
      <c r="AU52" s="69">
        <v>0.04</v>
      </c>
      <c r="AV52" s="69">
        <v>0.06</v>
      </c>
      <c r="AW52" s="69">
        <v>0.06</v>
      </c>
      <c r="AX52" s="69">
        <v>0.06</v>
      </c>
      <c r="AY52" s="69">
        <v>0.14000000000000001</v>
      </c>
      <c r="AZ52" s="69">
        <v>0</v>
      </c>
      <c r="BA52" s="69">
        <v>7.0000000000000007E-2</v>
      </c>
      <c r="BB52" s="69">
        <v>0.05</v>
      </c>
      <c r="BC52" s="69">
        <v>7.0000000000000007E-2</v>
      </c>
      <c r="BD52" s="69">
        <v>0.17</v>
      </c>
      <c r="BE52" s="69">
        <v>0.15</v>
      </c>
      <c r="BF52" s="69">
        <v>0.16</v>
      </c>
      <c r="BG52" s="69">
        <v>0.18</v>
      </c>
      <c r="BH52" s="69">
        <v>0.15</v>
      </c>
      <c r="BI52" s="69">
        <v>0.15</v>
      </c>
      <c r="BJ52" s="69">
        <v>0.18</v>
      </c>
      <c r="BK52" s="69">
        <v>0.25</v>
      </c>
      <c r="BL52" s="69">
        <v>0.36</v>
      </c>
      <c r="BM52" s="69">
        <v>0.38</v>
      </c>
      <c r="BN52" s="69">
        <v>0.43</v>
      </c>
      <c r="BO52" s="69">
        <v>0.24</v>
      </c>
      <c r="BP52" s="69">
        <v>0.25</v>
      </c>
      <c r="BQ52" s="69">
        <v>0.23</v>
      </c>
      <c r="BR52" s="69">
        <v>0.3</v>
      </c>
      <c r="BS52" s="68">
        <v>0.18</v>
      </c>
      <c r="BT52" s="68"/>
      <c r="BU52" s="68"/>
      <c r="BV52" s="68"/>
      <c r="BW52" s="67"/>
      <c r="BX52" s="67"/>
      <c r="BY52" s="69"/>
      <c r="BZ52" s="69"/>
      <c r="CA52" s="69"/>
      <c r="CB52" s="69"/>
      <c r="CC52" s="69"/>
      <c r="CD52" s="69"/>
      <c r="CE52" s="69"/>
      <c r="CF52" s="69"/>
      <c r="CG52" s="69"/>
      <c r="CH52" s="69"/>
      <c r="CI52" s="69"/>
      <c r="CJ52" s="69" t="s">
        <v>146</v>
      </c>
      <c r="CK52" s="69"/>
      <c r="CL52" s="69"/>
      <c r="CM52" s="69"/>
      <c r="CN52" s="69"/>
      <c r="CO52" s="69"/>
      <c r="CR52" s="70"/>
      <c r="CW52" s="69">
        <v>0.36</v>
      </c>
      <c r="DL52" s="48" t="s">
        <v>143</v>
      </c>
      <c r="DM52" s="45">
        <f>NPV(DM51,CY47:FM47)+CK47+Main!J5-Main!J6</f>
        <v>3068102.9880681904</v>
      </c>
    </row>
    <row r="53" spans="1:145" ht="12.95" customHeight="1">
      <c r="B53" s="46" t="s">
        <v>183</v>
      </c>
      <c r="C53" s="52"/>
      <c r="D53" s="52"/>
      <c r="E53" s="52"/>
      <c r="F53" s="52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  <c r="T53" s="53"/>
      <c r="U53" s="53"/>
      <c r="V53" s="53"/>
      <c r="W53" s="53"/>
      <c r="X53" s="53"/>
      <c r="Y53" s="53"/>
      <c r="Z53" s="53"/>
      <c r="AA53" s="53"/>
      <c r="AB53" s="53"/>
      <c r="AC53" s="53"/>
      <c r="AD53" s="53"/>
      <c r="AE53" s="53"/>
      <c r="AF53" s="53"/>
      <c r="AG53" s="53"/>
      <c r="AH53" s="53"/>
      <c r="AI53" s="53"/>
      <c r="AJ53" s="53"/>
      <c r="AK53" s="53"/>
      <c r="AL53" s="53"/>
      <c r="AM53" s="53"/>
      <c r="AN53" s="53"/>
      <c r="AO53" s="53"/>
      <c r="AP53" s="53"/>
      <c r="AQ53" s="53"/>
      <c r="AR53" s="53"/>
      <c r="AS53" s="53"/>
      <c r="AT53" s="53"/>
      <c r="AU53" s="54">
        <f>AU17/AQ17-1</f>
        <v>19.652173913043477</v>
      </c>
      <c r="AV53" s="54">
        <f t="shared" ref="AV53" si="161">AV17/AR17-1</f>
        <v>10.923076923076923</v>
      </c>
      <c r="AW53" s="54">
        <f t="shared" ref="AW53" si="162">AW17/AS17-1</f>
        <v>4.7814814814814817</v>
      </c>
      <c r="AX53" s="54">
        <f t="shared" ref="AX53" si="163">AX17/AT17-1</f>
        <v>3.400201612903226</v>
      </c>
      <c r="AY53" s="54">
        <f t="shared" ref="AY53" si="164">AY17/AU17-1</f>
        <v>2.3368421052631581</v>
      </c>
      <c r="AZ53" s="54">
        <f t="shared" ref="AZ53" si="165">AZ17/AV17-1</f>
        <v>1.08</v>
      </c>
      <c r="BA53" s="54">
        <f t="shared" ref="BA53:BH53" si="166">BA17/AW17-1</f>
        <v>0.73991031390134521</v>
      </c>
      <c r="BB53" s="54">
        <f t="shared" si="166"/>
        <v>0.41764032073310431</v>
      </c>
      <c r="BC53" s="54">
        <f t="shared" si="166"/>
        <v>0.40105152471083061</v>
      </c>
      <c r="BD53" s="54">
        <f t="shared" si="166"/>
        <v>0.53742762613730366</v>
      </c>
      <c r="BE53" s="54">
        <f t="shared" si="166"/>
        <v>0.63696612665684826</v>
      </c>
      <c r="BF53" s="54">
        <f t="shared" si="166"/>
        <v>0.73173884938590827</v>
      </c>
      <c r="BG53" s="54">
        <f t="shared" si="166"/>
        <v>0.80651456019213441</v>
      </c>
      <c r="BH53" s="54">
        <f t="shared" si="166"/>
        <v>0.9299260255548083</v>
      </c>
      <c r="BI53" s="54">
        <f t="shared" ref="BI53:BQ53" si="167">BI17/BE17-1</f>
        <v>0.84322986954565904</v>
      </c>
      <c r="BJ53" s="54">
        <f t="shared" si="167"/>
        <v>0.58417319895483399</v>
      </c>
      <c r="BK53" s="54">
        <f t="shared" si="167"/>
        <v>0.63190693809721643</v>
      </c>
      <c r="BL53" s="54">
        <f t="shared" si="167"/>
        <v>0.54024670708760203</v>
      </c>
      <c r="BM53" s="54">
        <f t="shared" si="167"/>
        <v>0.45893837705918239</v>
      </c>
      <c r="BN53" s="54">
        <f t="shared" si="167"/>
        <v>0.77102968897266733</v>
      </c>
      <c r="BO53" s="54">
        <f t="shared" si="167"/>
        <v>0.41598778004073322</v>
      </c>
      <c r="BP53" s="54">
        <f>BP17/BL17-1</f>
        <v>0.30650196823673137</v>
      </c>
      <c r="BQ53" s="54">
        <f t="shared" si="167"/>
        <v>0.24640347942455665</v>
      </c>
      <c r="BR53" s="54">
        <f>BR17/BN17-1</f>
        <v>0.12599368035922165</v>
      </c>
      <c r="BS53" s="54">
        <f>BS17/BO17-1</f>
        <v>0.1765911542610572</v>
      </c>
      <c r="BT53" s="54"/>
      <c r="BU53" s="54"/>
      <c r="BV53" s="54"/>
      <c r="BW53" s="52"/>
      <c r="BX53" s="52"/>
      <c r="BY53" s="54"/>
      <c r="BZ53" s="54"/>
      <c r="CA53" s="54"/>
      <c r="CB53" s="54"/>
      <c r="CC53" s="54"/>
      <c r="CD53" s="54"/>
      <c r="CE53" s="54"/>
      <c r="CF53" s="54"/>
      <c r="CG53" s="54"/>
      <c r="CH53" s="54"/>
      <c r="CI53" s="54"/>
      <c r="CJ53" s="54"/>
      <c r="CK53" s="54"/>
      <c r="CL53" s="54"/>
      <c r="CM53" s="54"/>
      <c r="CN53" s="54"/>
      <c r="CO53" s="54"/>
      <c r="CP53" s="39"/>
      <c r="CQ53" s="39"/>
      <c r="CR53" s="36"/>
      <c r="CS53" s="49"/>
      <c r="CT53" s="49"/>
      <c r="CU53" s="49">
        <f t="shared" ref="CU53:DI53" si="168">+CU17/CT17-1</f>
        <v>0.58903399179670934</v>
      </c>
      <c r="CV53" s="49">
        <f t="shared" si="168"/>
        <v>0.77273401572466982</v>
      </c>
      <c r="CW53" s="49">
        <f t="shared" si="168"/>
        <v>0.6019748953974895</v>
      </c>
      <c r="CX53" s="49">
        <f t="shared" si="168"/>
        <v>0.25725568858521908</v>
      </c>
      <c r="CY53" s="49">
        <f t="shared" si="168"/>
        <v>0.27148127835668356</v>
      </c>
      <c r="CZ53" s="49">
        <f t="shared" si="168"/>
        <v>0.30000000000000004</v>
      </c>
      <c r="DA53" s="49">
        <f t="shared" si="168"/>
        <v>0.25</v>
      </c>
      <c r="DB53" s="49">
        <f t="shared" si="168"/>
        <v>0.14999999999999969</v>
      </c>
      <c r="DC53" s="49">
        <f t="shared" si="168"/>
        <v>0.10000000000000009</v>
      </c>
      <c r="DD53" s="49">
        <f t="shared" si="168"/>
        <v>0.10000000000000009</v>
      </c>
      <c r="DE53" s="49">
        <f t="shared" si="168"/>
        <v>-0.30000000000000004</v>
      </c>
      <c r="DF53" s="49">
        <f t="shared" si="168"/>
        <v>-0.30000000000000004</v>
      </c>
      <c r="DG53" s="49">
        <f t="shared" si="168"/>
        <v>-0.30000000000000004</v>
      </c>
      <c r="DH53" s="49">
        <f t="shared" si="168"/>
        <v>-0.30000000000000004</v>
      </c>
      <c r="DI53" s="49">
        <f t="shared" si="168"/>
        <v>-0.30000000000000004</v>
      </c>
      <c r="DJ53" s="39"/>
      <c r="DK53" s="39"/>
      <c r="DL53" s="36" t="s">
        <v>573</v>
      </c>
      <c r="DM53" s="51">
        <f>DM52/Main!$J$3</f>
        <v>687.76126161582386</v>
      </c>
      <c r="DN53" s="39"/>
      <c r="DO53" s="39"/>
      <c r="DP53" s="39"/>
      <c r="DQ53" s="39"/>
      <c r="DR53" s="39"/>
      <c r="DS53" s="39"/>
      <c r="DT53" s="39"/>
      <c r="DU53" s="39"/>
      <c r="DV53" s="39"/>
      <c r="DW53" s="39"/>
      <c r="DX53" s="39"/>
      <c r="DY53" s="39"/>
      <c r="DZ53" s="39"/>
      <c r="EA53" s="39"/>
      <c r="EB53" s="39"/>
      <c r="EC53" s="39"/>
      <c r="ED53" s="39"/>
      <c r="EE53" s="39"/>
      <c r="EF53" s="39"/>
      <c r="EG53" s="39"/>
      <c r="EH53" s="39"/>
      <c r="EI53" s="39"/>
      <c r="EJ53" s="39"/>
      <c r="EK53" s="39"/>
      <c r="EL53" s="39"/>
      <c r="EM53" s="39"/>
      <c r="EN53" s="39"/>
      <c r="EO53" s="39"/>
    </row>
    <row r="54" spans="1:145" ht="12.95" customHeight="1">
      <c r="B54" s="46" t="s">
        <v>184</v>
      </c>
      <c r="C54" s="52"/>
      <c r="D54" s="52"/>
      <c r="E54" s="52"/>
      <c r="F54" s="52"/>
      <c r="G54" s="53"/>
      <c r="H54" s="53"/>
      <c r="I54" s="53"/>
      <c r="J54" s="53"/>
      <c r="K54" s="53"/>
      <c r="L54" s="53"/>
      <c r="M54" s="53"/>
      <c r="N54" s="53"/>
      <c r="O54" s="53"/>
      <c r="P54" s="53"/>
      <c r="Q54" s="53"/>
      <c r="R54" s="53"/>
      <c r="S54" s="53"/>
      <c r="T54" s="53"/>
      <c r="U54" s="53"/>
      <c r="V54" s="53"/>
      <c r="W54" s="53"/>
      <c r="X54" s="53"/>
      <c r="Y54" s="53"/>
      <c r="Z54" s="53"/>
      <c r="AA54" s="53"/>
      <c r="AB54" s="53"/>
      <c r="AC54" s="53"/>
      <c r="AD54" s="53"/>
      <c r="AE54" s="53"/>
      <c r="AF54" s="53"/>
      <c r="AG54" s="53"/>
      <c r="AH54" s="53"/>
      <c r="AI54" s="53"/>
      <c r="AJ54" s="53"/>
      <c r="AK54" s="53"/>
      <c r="AL54" s="53"/>
      <c r="AM54" s="53"/>
      <c r="AN54" s="53"/>
      <c r="AO54" s="53"/>
      <c r="AP54" s="53"/>
      <c r="AQ54" s="53"/>
      <c r="AR54" s="53"/>
      <c r="AS54" s="53"/>
      <c r="AT54" s="53"/>
      <c r="AU54" s="54">
        <f t="shared" ref="AU54" si="169">SUM(AU15:AU21)/SUM(AQ15:AQ21)-1</f>
        <v>0.22407732864674879</v>
      </c>
      <c r="AV54" s="54">
        <f t="shared" ref="AV54" si="170">SUM(AV15:AV21)/SUM(AR15:AR21)-1</f>
        <v>0.35184369031878937</v>
      </c>
      <c r="AW54" s="54">
        <f t="shared" ref="AW54" si="171">SUM(AW15:AW21)/SUM(AS15:AS21)-1</f>
        <v>0.29992148652185291</v>
      </c>
      <c r="AX54" s="54">
        <f t="shared" ref="AX54" si="172">SUM(AX15:AX21)/SUM(AT15:AT21)-1</f>
        <v>0.30787753697970421</v>
      </c>
      <c r="AY54" s="54">
        <f t="shared" ref="AY54" si="173">SUM(AY15:AY21)/SUM(AU15:AU21)-1</f>
        <v>0.38214883943527167</v>
      </c>
      <c r="AZ54" s="54">
        <f t="shared" ref="AZ54" si="174">SUM(AZ15:AZ21)/SUM(AV15:AV21)-1</f>
        <v>0.16637687459247985</v>
      </c>
      <c r="BA54" s="54">
        <f t="shared" ref="BA54:BR54" si="175">SUM(BA15:BA21)/SUM(AW15:AW21)-1</f>
        <v>0.20686531105294947</v>
      </c>
      <c r="BB54" s="54">
        <f t="shared" si="175"/>
        <v>0.15421707873049262</v>
      </c>
      <c r="BC54" s="54">
        <f t="shared" si="175"/>
        <v>0.11244806094182835</v>
      </c>
      <c r="BD54" s="54">
        <f t="shared" si="175"/>
        <v>0.31081710612130808</v>
      </c>
      <c r="BE54" s="54">
        <f t="shared" si="175"/>
        <v>0.35507548586204019</v>
      </c>
      <c r="BF54" s="54">
        <f t="shared" si="175"/>
        <v>0.43038359285985561</v>
      </c>
      <c r="BG54" s="54">
        <f t="shared" si="175"/>
        <v>0.62026301455139676</v>
      </c>
      <c r="BH54" s="54">
        <f t="shared" si="175"/>
        <v>0.62584405430378842</v>
      </c>
      <c r="BI54" s="54">
        <f>SUM(BI15:BI21)/SUM(BE15:BE21)-1</f>
        <v>0.64341991874923066</v>
      </c>
      <c r="BJ54" s="54">
        <f t="shared" si="175"/>
        <v>0.58462110349954854</v>
      </c>
      <c r="BK54" s="54">
        <f t="shared" si="175"/>
        <v>0.66424935164729604</v>
      </c>
      <c r="BL54" s="54">
        <f t="shared" si="175"/>
        <v>0.67137361196117862</v>
      </c>
      <c r="BM54" s="54">
        <f t="shared" si="175"/>
        <v>0.60642720701149866</v>
      </c>
      <c r="BN54" s="54">
        <f t="shared" si="175"/>
        <v>0.64175603217158184</v>
      </c>
      <c r="BO54" s="54">
        <f t="shared" si="175"/>
        <v>0.32793697515366627</v>
      </c>
      <c r="BP54" s="54">
        <f t="shared" si="175"/>
        <v>0.33240040804582671</v>
      </c>
      <c r="BQ54" s="54">
        <f t="shared" si="175"/>
        <v>0.25287945908137099</v>
      </c>
      <c r="BR54" s="54">
        <f t="shared" si="175"/>
        <v>0.29779546846295157</v>
      </c>
      <c r="BS54" s="54"/>
      <c r="BT54" s="54"/>
      <c r="BU54" s="54"/>
      <c r="BV54" s="54"/>
      <c r="BW54" s="52"/>
      <c r="BX54" s="52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39"/>
      <c r="CQ54" s="39"/>
      <c r="CR54" s="36"/>
      <c r="CS54" s="39"/>
      <c r="CT54" s="39"/>
      <c r="CU54" s="49"/>
      <c r="CV54" s="39"/>
      <c r="CW54" s="39"/>
      <c r="CX54" s="39"/>
      <c r="CY54" s="39"/>
      <c r="CZ54" s="39"/>
      <c r="DA54" s="39"/>
      <c r="DB54" s="39"/>
      <c r="DC54" s="39"/>
      <c r="DD54" s="39"/>
      <c r="DE54" s="39"/>
      <c r="DH54" s="39"/>
      <c r="DI54" s="39"/>
      <c r="DJ54" s="39"/>
      <c r="DK54" s="39"/>
      <c r="DL54" s="39" t="s">
        <v>610</v>
      </c>
      <c r="DM54" s="87">
        <v>417</v>
      </c>
      <c r="DN54" s="39"/>
      <c r="DO54" s="39"/>
      <c r="DP54" s="39"/>
      <c r="DQ54" s="39"/>
      <c r="DR54" s="39"/>
      <c r="DS54" s="39"/>
      <c r="DT54" s="39"/>
      <c r="DU54" s="39"/>
      <c r="DV54" s="39"/>
      <c r="DW54" s="39"/>
      <c r="DX54" s="39"/>
      <c r="DY54" s="39"/>
      <c r="DZ54" s="39"/>
      <c r="EA54" s="39"/>
      <c r="EB54" s="39"/>
      <c r="EC54" s="39"/>
      <c r="ED54" s="39"/>
      <c r="EE54" s="39"/>
      <c r="EF54" s="39"/>
      <c r="EG54" s="39"/>
      <c r="EH54" s="39"/>
      <c r="EI54" s="39"/>
      <c r="EJ54" s="39"/>
      <c r="EK54" s="39"/>
      <c r="EL54" s="39"/>
      <c r="EM54" s="39"/>
      <c r="EN54" s="39"/>
      <c r="EO54" s="39"/>
    </row>
    <row r="55" spans="1:145" ht="12.95" customHeight="1">
      <c r="B55" s="46" t="s">
        <v>186</v>
      </c>
      <c r="C55" s="52"/>
      <c r="D55" s="52"/>
      <c r="E55" s="52"/>
      <c r="F55" s="52"/>
      <c r="G55" s="53"/>
      <c r="H55" s="53"/>
      <c r="I55" s="53"/>
      <c r="J55" s="53"/>
      <c r="K55" s="53"/>
      <c r="L55" s="53"/>
      <c r="M55" s="53"/>
      <c r="N55" s="53"/>
      <c r="O55" s="53"/>
      <c r="P55" s="53"/>
      <c r="Q55" s="53"/>
      <c r="R55" s="53"/>
      <c r="S55" s="53"/>
      <c r="T55" s="53"/>
      <c r="U55" s="53"/>
      <c r="V55" s="53"/>
      <c r="W55" s="53"/>
      <c r="X55" s="53"/>
      <c r="Y55" s="53"/>
      <c r="Z55" s="53"/>
      <c r="AA55" s="53"/>
      <c r="AB55" s="53"/>
      <c r="AC55" s="53"/>
      <c r="AD55" s="53"/>
      <c r="AE55" s="53"/>
      <c r="AF55" s="53"/>
      <c r="AG55" s="53"/>
      <c r="AH55" s="53"/>
      <c r="AI55" s="53"/>
      <c r="AJ55" s="53"/>
      <c r="AK55" s="53"/>
      <c r="AL55" s="53"/>
      <c r="AM55" s="53"/>
      <c r="AN55" s="53"/>
      <c r="AO55" s="53"/>
      <c r="AP55" s="53"/>
      <c r="AQ55" s="53"/>
      <c r="AR55" s="53"/>
      <c r="AS55" s="53"/>
      <c r="AT55" s="53"/>
      <c r="AU55" s="54">
        <f t="shared" ref="AU55" si="176">AU13/AQ13-1</f>
        <v>5.0071628351183506E-2</v>
      </c>
      <c r="AV55" s="54">
        <f t="shared" ref="AV55" si="177">AV13/AR13-1</f>
        <v>-2.0111731843575398E-2</v>
      </c>
      <c r="AW55" s="54">
        <f t="shared" ref="AW55" si="178">AW13/AS13-1</f>
        <v>-1.335149863760221E-2</v>
      </c>
      <c r="AX55" s="54">
        <f t="shared" ref="AX55" si="179">AX13/AT13-1</f>
        <v>-1.2912197059992025E-2</v>
      </c>
      <c r="AY55" s="54">
        <f t="shared" ref="AY55" si="180">AY13/AU13-1</f>
        <v>3.3846553628272602E-2</v>
      </c>
      <c r="AZ55" s="54">
        <f t="shared" ref="AZ55" si="181">AZ13/AV13-1</f>
        <v>-8.7396874371185151E-2</v>
      </c>
      <c r="BA55" s="54">
        <f t="shared" ref="BA55:BR55" si="182">BA13/AW13-1</f>
        <v>-7.4634078983706109E-2</v>
      </c>
      <c r="BB55" s="54">
        <f t="shared" si="182"/>
        <v>-8.5865700677534074E-2</v>
      </c>
      <c r="BC55" s="54">
        <f t="shared" si="182"/>
        <v>-6.5853965062209419E-2</v>
      </c>
      <c r="BD55" s="54">
        <f t="shared" si="182"/>
        <v>-3.3000146993973245E-2</v>
      </c>
      <c r="BE55" s="54">
        <f t="shared" si="182"/>
        <v>4.5288368275759217E-2</v>
      </c>
      <c r="BF55" s="54">
        <f t="shared" si="182"/>
        <v>2.5390768327584912E-2</v>
      </c>
      <c r="BG55" s="54">
        <f t="shared" si="182"/>
        <v>6.4576886855913784E-3</v>
      </c>
      <c r="BH55" s="54">
        <f t="shared" si="182"/>
        <v>-6.1868207038078604E-2</v>
      </c>
      <c r="BI55" s="54">
        <f t="shared" si="182"/>
        <v>-7.487508922198427E-2</v>
      </c>
      <c r="BJ55" s="54">
        <f t="shared" si="182"/>
        <v>-9.2106204823588333E-2</v>
      </c>
      <c r="BK55" s="54">
        <f t="shared" si="182"/>
        <v>-0.1037962839192621</v>
      </c>
      <c r="BL55" s="54">
        <f t="shared" si="182"/>
        <v>-8.5473547759863933E-2</v>
      </c>
      <c r="BM55" s="54">
        <f t="shared" si="182"/>
        <v>-0.12468173752025302</v>
      </c>
      <c r="BN55" s="54">
        <f t="shared" si="182"/>
        <v>-5.565189973198803E-2</v>
      </c>
      <c r="BO55" s="54">
        <f t="shared" si="182"/>
        <v>7.129539861287193E-2</v>
      </c>
      <c r="BP55" s="54">
        <f t="shared" si="182"/>
        <v>0.11729270021261518</v>
      </c>
      <c r="BQ55" s="54">
        <f t="shared" si="182"/>
        <v>0.10260026443367121</v>
      </c>
      <c r="BR55" s="54">
        <f t="shared" si="182"/>
        <v>0.32612687813021712</v>
      </c>
      <c r="BS55" s="54"/>
      <c r="BT55" s="54"/>
      <c r="BU55" s="54"/>
      <c r="BV55" s="54"/>
      <c r="BW55" s="52"/>
      <c r="BX55" s="52"/>
      <c r="BY55" s="54"/>
      <c r="BZ55" s="54"/>
      <c r="CA55" s="54"/>
      <c r="CB55" s="54"/>
      <c r="CC55" s="54"/>
      <c r="CD55" s="54"/>
      <c r="CE55" s="54"/>
      <c r="CF55" s="54"/>
      <c r="CG55" s="54"/>
      <c r="CH55" s="54"/>
      <c r="CI55" s="54"/>
      <c r="CJ55" s="54"/>
      <c r="CK55" s="54"/>
      <c r="CL55" s="54"/>
      <c r="CM55" s="54"/>
      <c r="CN55" s="54"/>
      <c r="CO55" s="54"/>
      <c r="CP55" s="39"/>
      <c r="CQ55" s="39"/>
      <c r="CR55" s="36"/>
      <c r="CS55" s="49"/>
      <c r="CT55" s="49"/>
      <c r="CU55" s="49">
        <f>+CU11/CT11-1</f>
        <v>-1.5164544749040387E-2</v>
      </c>
      <c r="CV55" s="49">
        <f>+CV11/CU11-1</f>
        <v>-4.6598798824381338E-2</v>
      </c>
      <c r="CW55" s="49">
        <f>+CW11/CV11-1</f>
        <v>-9.6903900281463562E-2</v>
      </c>
      <c r="CX55" s="49">
        <f>+CX11/CW11-1</f>
        <v>0.1973384782823786</v>
      </c>
      <c r="CY55" s="39"/>
      <c r="CZ55" s="39"/>
      <c r="DA55" s="39"/>
      <c r="DB55" s="39"/>
      <c r="DC55" s="39"/>
      <c r="DD55" s="39"/>
      <c r="DE55" s="39"/>
      <c r="DF55" s="36"/>
      <c r="DG55" s="51"/>
      <c r="DH55" s="39"/>
      <c r="DI55" s="39"/>
      <c r="DJ55" s="39"/>
      <c r="DK55" s="39"/>
      <c r="DL55" s="39"/>
      <c r="DM55" s="49">
        <f>+DM53/DM54-1</f>
        <v>0.64930758181252712</v>
      </c>
      <c r="DN55" s="39"/>
      <c r="DO55" s="39"/>
      <c r="DP55" s="39"/>
      <c r="DQ55" s="39"/>
      <c r="DR55" s="39"/>
      <c r="DS55" s="39"/>
      <c r="DT55" s="39"/>
      <c r="DU55" s="39"/>
      <c r="DV55" s="39"/>
      <c r="DW55" s="39"/>
      <c r="DX55" s="39"/>
      <c r="DY55" s="39"/>
      <c r="DZ55" s="39"/>
      <c r="EA55" s="39"/>
      <c r="EB55" s="39"/>
      <c r="EC55" s="39"/>
      <c r="ED55" s="39"/>
      <c r="EE55" s="39"/>
      <c r="EF55" s="39"/>
      <c r="EG55" s="39"/>
      <c r="EH55" s="39"/>
      <c r="EI55" s="39"/>
      <c r="EJ55" s="39"/>
      <c r="EK55" s="39"/>
      <c r="EL55" s="39"/>
      <c r="EM55" s="39"/>
      <c r="EN55" s="39"/>
      <c r="EO55" s="39"/>
    </row>
    <row r="56" spans="1:145" ht="12.95" customHeight="1">
      <c r="B56" s="36" t="s">
        <v>147</v>
      </c>
      <c r="C56" s="55">
        <f t="shared" ref="C56:N56" si="183">C35/C33</f>
        <v>0.77265875259091765</v>
      </c>
      <c r="D56" s="55">
        <f t="shared" si="183"/>
        <v>0.77011701170117008</v>
      </c>
      <c r="E56" s="55">
        <f t="shared" si="183"/>
        <v>0.76827316379157029</v>
      </c>
      <c r="F56" s="55">
        <f t="shared" si="183"/>
        <v>0.79845823730429943</v>
      </c>
      <c r="G56" s="55">
        <f t="shared" si="183"/>
        <v>0.79932789246279401</v>
      </c>
      <c r="H56" s="55">
        <f t="shared" si="183"/>
        <v>0.79924621182985922</v>
      </c>
      <c r="I56" s="55">
        <f t="shared" si="183"/>
        <v>0.78373854125149467</v>
      </c>
      <c r="J56" s="55">
        <f t="shared" si="183"/>
        <v>0.79468028351497599</v>
      </c>
      <c r="K56" s="55">
        <f t="shared" si="183"/>
        <v>0.80327629077080587</v>
      </c>
      <c r="L56" s="55">
        <f t="shared" si="183"/>
        <v>0.80713264908405868</v>
      </c>
      <c r="M56" s="55">
        <f t="shared" si="183"/>
        <v>0.8116016427104723</v>
      </c>
      <c r="N56" s="55">
        <f t="shared" si="183"/>
        <v>0.8</v>
      </c>
      <c r="O56" s="55"/>
      <c r="P56" s="55"/>
      <c r="Q56" s="55"/>
      <c r="R56" s="55"/>
      <c r="S56" s="55"/>
      <c r="T56" s="55"/>
      <c r="U56" s="55"/>
      <c r="V56" s="55"/>
      <c r="W56" s="55"/>
      <c r="X56" s="55"/>
      <c r="Y56" s="55"/>
      <c r="Z56" s="55"/>
      <c r="AA56" s="55"/>
      <c r="AB56" s="55"/>
      <c r="AC56" s="55"/>
      <c r="AD56" s="55"/>
      <c r="AE56" s="55"/>
      <c r="AF56" s="55"/>
      <c r="AG56" s="55"/>
      <c r="AH56" s="55"/>
      <c r="AI56" s="55"/>
      <c r="AJ56" s="55"/>
      <c r="AK56" s="55"/>
      <c r="AL56" s="55"/>
      <c r="AM56" s="55"/>
      <c r="AN56" s="55"/>
      <c r="AO56" s="55"/>
      <c r="AP56" s="55"/>
      <c r="AQ56" s="55">
        <f t="shared" ref="AQ56:AT56" si="184">AQ35/AQ33</f>
        <v>0.8441515038989974</v>
      </c>
      <c r="AR56" s="55">
        <f t="shared" si="184"/>
        <v>0.84120845039588421</v>
      </c>
      <c r="AS56" s="55">
        <f t="shared" si="184"/>
        <v>0.84096967077299911</v>
      </c>
      <c r="AT56" s="55">
        <f t="shared" si="184"/>
        <v>0.8435019507601238</v>
      </c>
      <c r="AU56" s="55">
        <f t="shared" ref="AU56:AW56" si="185">AU35/AU33</f>
        <v>0.83844867024000547</v>
      </c>
      <c r="AV56" s="55">
        <f t="shared" si="185"/>
        <v>0.83856039419363426</v>
      </c>
      <c r="AW56" s="55">
        <f t="shared" si="185"/>
        <v>0.83238101529213593</v>
      </c>
      <c r="AX56" s="55">
        <f t="shared" ref="AX56:BV56" si="186">AX35/AX33</f>
        <v>0.83243359965450225</v>
      </c>
      <c r="AY56" s="55">
        <f t="shared" si="186"/>
        <v>0.84100369003690034</v>
      </c>
      <c r="AZ56" s="55">
        <f t="shared" si="186"/>
        <v>0.84096514030527225</v>
      </c>
      <c r="BA56" s="55">
        <f t="shared" si="186"/>
        <v>0.83331716623015484</v>
      </c>
      <c r="BB56" s="55">
        <f t="shared" si="186"/>
        <v>0.8251602464372394</v>
      </c>
      <c r="BC56" s="55">
        <f t="shared" si="186"/>
        <v>0.82809726659566918</v>
      </c>
      <c r="BD56" s="55">
        <f t="shared" si="186"/>
        <v>0.83211767198329345</v>
      </c>
      <c r="BE56" s="55">
        <f t="shared" si="186"/>
        <v>0.82990848352141933</v>
      </c>
      <c r="BF56" s="55">
        <f t="shared" si="186"/>
        <v>0.83718988860772703</v>
      </c>
      <c r="BG56" s="55">
        <f t="shared" si="186"/>
        <v>0.83543099141110133</v>
      </c>
      <c r="BH56" s="55">
        <f t="shared" si="186"/>
        <v>0.85292620865139945</v>
      </c>
      <c r="BI56" s="55">
        <f t="shared" si="186"/>
        <v>0.8419874467804942</v>
      </c>
      <c r="BJ56" s="55">
        <f t="shared" si="186"/>
        <v>0.82820427513931627</v>
      </c>
      <c r="BK56" s="55">
        <f t="shared" si="186"/>
        <v>0.84668428054790412</v>
      </c>
      <c r="BL56" s="55">
        <f t="shared" si="186"/>
        <v>0.85532228360957641</v>
      </c>
      <c r="BM56" s="55">
        <f t="shared" si="186"/>
        <v>0.83461885545963799</v>
      </c>
      <c r="BN56" s="55">
        <f t="shared" si="186"/>
        <v>0.84795712311920202</v>
      </c>
      <c r="BO56" s="55">
        <f t="shared" si="186"/>
        <v>0.8482608762184578</v>
      </c>
      <c r="BP56" s="55">
        <f t="shared" si="186"/>
        <v>0.84904496032912136</v>
      </c>
      <c r="BQ56" s="55">
        <f t="shared" si="186"/>
        <v>0.84142698882360367</v>
      </c>
      <c r="BR56" s="55">
        <f t="shared" si="186"/>
        <v>0.85000000000000009</v>
      </c>
      <c r="BS56" s="55">
        <f t="shared" si="186"/>
        <v>0</v>
      </c>
      <c r="BT56" s="55">
        <f t="shared" si="186"/>
        <v>0</v>
      </c>
      <c r="BU56" s="55">
        <f t="shared" si="186"/>
        <v>0</v>
      </c>
      <c r="BV56" s="55">
        <f t="shared" si="186"/>
        <v>0</v>
      </c>
      <c r="BW56" s="38"/>
      <c r="BX56" s="38"/>
      <c r="BY56" s="38"/>
      <c r="BZ56" s="38"/>
      <c r="CA56" s="38"/>
      <c r="CB56" s="38"/>
      <c r="CC56" s="38"/>
      <c r="CD56" s="38"/>
      <c r="CE56" s="38"/>
      <c r="CF56" s="38"/>
      <c r="CG56" s="38"/>
      <c r="CH56" s="38"/>
      <c r="CI56" s="55">
        <f t="shared" ref="CI56:CX56" si="187">CI35/CI33</f>
        <v>0.79429297371249874</v>
      </c>
      <c r="CJ56" s="55">
        <f t="shared" si="187"/>
        <v>0.80781887587205481</v>
      </c>
      <c r="CK56" s="55">
        <f t="shared" si="187"/>
        <v>0.81025231362855332</v>
      </c>
      <c r="CL56" s="55">
        <f t="shared" si="187"/>
        <v>0.82742931843231748</v>
      </c>
      <c r="CM56" s="55">
        <f t="shared" si="187"/>
        <v>0</v>
      </c>
      <c r="CN56" s="55">
        <f t="shared" si="187"/>
        <v>0.83602459293290998</v>
      </c>
      <c r="CO56" s="55">
        <f t="shared" si="187"/>
        <v>0.85000972879816916</v>
      </c>
      <c r="CP56" s="55">
        <f t="shared" si="187"/>
        <v>0.84627840400787258</v>
      </c>
      <c r="CQ56" s="55">
        <f t="shared" si="187"/>
        <v>0.84214295946139517</v>
      </c>
      <c r="CR56" s="55">
        <f t="shared" si="187"/>
        <v>0.84246765208215968</v>
      </c>
      <c r="CS56" s="55">
        <f t="shared" si="187"/>
        <v>0.8353725997983954</v>
      </c>
      <c r="CT56" s="55">
        <f t="shared" si="187"/>
        <v>0.83511099207537065</v>
      </c>
      <c r="CU56" s="55">
        <f t="shared" si="187"/>
        <v>0.83197443181818187</v>
      </c>
      <c r="CV56" s="55">
        <f t="shared" si="187"/>
        <v>0.83923505543813648</v>
      </c>
      <c r="CW56" s="55">
        <f t="shared" si="187"/>
        <v>0.84601375177063731</v>
      </c>
      <c r="CX56" s="55">
        <f t="shared" si="187"/>
        <v>0.8472796424279363</v>
      </c>
      <c r="CY56" s="55"/>
      <c r="CZ56" s="55"/>
      <c r="DA56" s="55"/>
      <c r="DB56" s="55"/>
      <c r="DC56" s="55"/>
      <c r="DD56" s="55"/>
      <c r="DE56" s="39"/>
      <c r="DF56" s="39"/>
      <c r="DG56" s="39"/>
      <c r="DH56" s="39"/>
      <c r="DI56" s="39"/>
      <c r="DJ56" s="39"/>
      <c r="DK56" s="39"/>
      <c r="DL56" s="39"/>
      <c r="DM56" s="39"/>
      <c r="DN56" s="39"/>
      <c r="DO56" s="39"/>
      <c r="DP56" s="39"/>
      <c r="DQ56" s="39"/>
      <c r="DR56" s="39"/>
      <c r="DS56" s="39"/>
      <c r="DT56" s="39"/>
      <c r="DU56" s="39"/>
      <c r="DV56" s="39"/>
      <c r="DW56" s="39"/>
      <c r="DX56" s="39"/>
      <c r="DY56" s="39"/>
      <c r="DZ56" s="39"/>
      <c r="EA56" s="39"/>
      <c r="EB56" s="39"/>
      <c r="EC56" s="39"/>
      <c r="ED56" s="39"/>
      <c r="EE56" s="39"/>
      <c r="EF56" s="39"/>
      <c r="EG56" s="39"/>
      <c r="EH56" s="39"/>
      <c r="EI56" s="39"/>
      <c r="EJ56" s="39"/>
      <c r="EK56" s="39"/>
      <c r="EL56" s="39"/>
      <c r="EM56" s="39"/>
      <c r="EN56" s="39"/>
      <c r="EO56" s="39"/>
    </row>
    <row r="57" spans="1:145" ht="12.95" customHeight="1">
      <c r="B57" s="36" t="s">
        <v>196</v>
      </c>
      <c r="C57" s="55"/>
      <c r="D57" s="55"/>
      <c r="E57" s="55"/>
      <c r="F57" s="55"/>
      <c r="G57" s="55"/>
      <c r="H57" s="55"/>
      <c r="I57" s="55"/>
      <c r="J57" s="55"/>
      <c r="K57" s="55"/>
      <c r="L57" s="55"/>
      <c r="M57" s="55"/>
      <c r="N57" s="55"/>
      <c r="O57" s="55"/>
      <c r="P57" s="55"/>
      <c r="Q57" s="55"/>
      <c r="R57" s="55"/>
      <c r="S57" s="55"/>
      <c r="T57" s="55"/>
      <c r="U57" s="55"/>
      <c r="V57" s="55"/>
      <c r="W57" s="55"/>
      <c r="X57" s="55"/>
      <c r="Y57" s="55"/>
      <c r="Z57" s="55"/>
      <c r="AA57" s="55"/>
      <c r="AB57" s="55"/>
      <c r="AC57" s="55"/>
      <c r="AD57" s="55"/>
      <c r="AE57" s="55"/>
      <c r="AF57" s="55"/>
      <c r="AG57" s="55"/>
      <c r="AH57" s="55"/>
      <c r="AI57" s="55"/>
      <c r="AJ57" s="55"/>
      <c r="AK57" s="55"/>
      <c r="AL57" s="55"/>
      <c r="AM57" s="55"/>
      <c r="AN57" s="55"/>
      <c r="AO57" s="55"/>
      <c r="AP57" s="55"/>
      <c r="AQ57" s="55">
        <f t="shared" ref="AQ57:AT57" si="188">+AQ36/AQ33</f>
        <v>0.23954697363535091</v>
      </c>
      <c r="AR57" s="55">
        <f t="shared" si="188"/>
        <v>0.25869303462619037</v>
      </c>
      <c r="AS57" s="55">
        <f t="shared" si="188"/>
        <v>0.25675383617894965</v>
      </c>
      <c r="AT57" s="55">
        <f t="shared" si="188"/>
        <v>0.29355576483250367</v>
      </c>
      <c r="AU57" s="55">
        <f t="shared" ref="AU57:AW57" si="189">+AU36/AU33</f>
        <v>0.23713768734423543</v>
      </c>
      <c r="AV57" s="55">
        <f t="shared" si="189"/>
        <v>0.252363830070582</v>
      </c>
      <c r="AW57" s="55">
        <f t="shared" si="189"/>
        <v>0.25633319021039075</v>
      </c>
      <c r="AX57" s="55">
        <f t="shared" ref="AX57:BR57" si="190">+AX36/AX33</f>
        <v>0.29416664095999012</v>
      </c>
      <c r="AY57" s="55">
        <f t="shared" si="190"/>
        <v>0.22405904059040591</v>
      </c>
      <c r="AZ57" s="55">
        <f t="shared" si="190"/>
        <v>0.24655068986202761</v>
      </c>
      <c r="BA57" s="55">
        <f t="shared" si="190"/>
        <v>0.26429980276134124</v>
      </c>
      <c r="BB57" s="55">
        <f t="shared" si="190"/>
        <v>0.30387703030680191</v>
      </c>
      <c r="BC57" s="55">
        <f t="shared" si="190"/>
        <v>0.24423145189918352</v>
      </c>
      <c r="BD57" s="55">
        <f t="shared" si="190"/>
        <v>0.24215368784237765</v>
      </c>
      <c r="BE57" s="55">
        <f t="shared" si="190"/>
        <v>0.25599348717084947</v>
      </c>
      <c r="BF57" s="55">
        <f t="shared" si="190"/>
        <v>0.30344611692275586</v>
      </c>
      <c r="BG57" s="55">
        <f t="shared" si="190"/>
        <v>0.24227355999143491</v>
      </c>
      <c r="BH57" s="55">
        <f t="shared" si="190"/>
        <v>0.26269235429540772</v>
      </c>
      <c r="BI57" s="55">
        <f t="shared" si="190"/>
        <v>0.25130579818285564</v>
      </c>
      <c r="BJ57" s="55">
        <f t="shared" si="190"/>
        <v>0.28576478416368628</v>
      </c>
      <c r="BK57" s="55">
        <f t="shared" si="190"/>
        <v>0.23257818502070568</v>
      </c>
      <c r="BL57" s="55">
        <f t="shared" si="190"/>
        <v>0.26412523020257828</v>
      </c>
      <c r="BM57" s="55">
        <f t="shared" si="190"/>
        <v>0.21826633294171732</v>
      </c>
      <c r="BN57" s="55">
        <f t="shared" si="190"/>
        <v>0.26069264989447793</v>
      </c>
      <c r="BO57" s="55">
        <f t="shared" si="190"/>
        <v>0.2028493167454743</v>
      </c>
      <c r="BP57" s="55">
        <f t="shared" si="190"/>
        <v>0.21942403761387011</v>
      </c>
      <c r="BQ57" s="55">
        <f t="shared" si="190"/>
        <v>0.21329107711292788</v>
      </c>
      <c r="BR57" s="55">
        <f t="shared" si="190"/>
        <v>0.22042878984162553</v>
      </c>
      <c r="BS57" s="55"/>
      <c r="BT57" s="55"/>
      <c r="BU57" s="55"/>
      <c r="BV57" s="55"/>
      <c r="BW57" s="38"/>
      <c r="BX57" s="38"/>
      <c r="BY57" s="38"/>
      <c r="BZ57" s="38"/>
      <c r="CA57" s="38"/>
      <c r="CB57" s="38"/>
      <c r="CC57" s="38"/>
      <c r="CD57" s="38"/>
      <c r="CE57" s="38"/>
      <c r="CF57" s="38"/>
      <c r="CG57" s="38"/>
      <c r="CH57" s="38"/>
      <c r="CI57" s="55"/>
      <c r="CJ57" s="55"/>
      <c r="CK57" s="55"/>
      <c r="CL57" s="55"/>
      <c r="CM57" s="55"/>
      <c r="CN57" s="55"/>
      <c r="CO57" s="55"/>
      <c r="CP57" s="39"/>
      <c r="CQ57" s="39"/>
      <c r="CR57" s="39"/>
      <c r="CS57" s="39"/>
      <c r="CT57" s="39"/>
      <c r="CU57" s="49">
        <f>+CU36/CU33</f>
        <v>0.26284090909090907</v>
      </c>
      <c r="CV57" s="49">
        <f t="shared" ref="CV57:CX57" si="191">+CV36/CV33</f>
        <v>0.26118087186500444</v>
      </c>
      <c r="CW57" s="49">
        <f t="shared" si="191"/>
        <v>0.24430705111921502</v>
      </c>
      <c r="CX57" s="49">
        <f t="shared" si="191"/>
        <v>0.21448469884952978</v>
      </c>
      <c r="CY57" s="39"/>
      <c r="CZ57" s="39"/>
      <c r="DA57" s="39"/>
      <c r="DB57" s="39"/>
      <c r="DC57" s="39"/>
      <c r="DD57" s="39"/>
      <c r="DE57" s="39"/>
      <c r="DF57" s="39"/>
      <c r="DG57" s="39"/>
      <c r="DH57" s="39"/>
      <c r="DI57" s="39"/>
      <c r="DJ57" s="39"/>
      <c r="DK57" s="39"/>
      <c r="DL57" s="39"/>
      <c r="DM57" s="39"/>
      <c r="DN57" s="39"/>
      <c r="DO57" s="39"/>
      <c r="DP57" s="39"/>
      <c r="DQ57" s="39"/>
      <c r="DR57" s="39"/>
      <c r="DS57" s="39"/>
      <c r="DT57" s="39"/>
      <c r="DU57" s="39"/>
      <c r="DV57" s="39"/>
      <c r="DW57" s="39"/>
      <c r="DX57" s="39"/>
      <c r="DY57" s="39"/>
      <c r="DZ57" s="39"/>
      <c r="EA57" s="39"/>
      <c r="EB57" s="39"/>
      <c r="EC57" s="39"/>
      <c r="ED57" s="39"/>
      <c r="EE57" s="39"/>
      <c r="EF57" s="39"/>
      <c r="EG57" s="39"/>
      <c r="EH57" s="39"/>
      <c r="EI57" s="39"/>
      <c r="EJ57" s="39"/>
      <c r="EK57" s="39"/>
      <c r="EL57" s="39"/>
      <c r="EM57" s="39"/>
      <c r="EN57" s="39"/>
      <c r="EO57" s="39"/>
    </row>
    <row r="58" spans="1:145" ht="12.95" customHeight="1">
      <c r="B58" s="36" t="s">
        <v>197</v>
      </c>
      <c r="C58" s="55"/>
      <c r="D58" s="55"/>
      <c r="E58" s="55"/>
      <c r="F58" s="55"/>
      <c r="G58" s="55"/>
      <c r="H58" s="55"/>
      <c r="I58" s="55"/>
      <c r="J58" s="55"/>
      <c r="K58" s="55"/>
      <c r="L58" s="55"/>
      <c r="M58" s="55"/>
      <c r="N58" s="55"/>
      <c r="O58" s="55"/>
      <c r="P58" s="55"/>
      <c r="Q58" s="55"/>
      <c r="R58" s="55"/>
      <c r="S58" s="55"/>
      <c r="T58" s="55"/>
      <c r="U58" s="55"/>
      <c r="V58" s="55"/>
      <c r="W58" s="55"/>
      <c r="X58" s="55"/>
      <c r="Y58" s="55"/>
      <c r="Z58" s="55"/>
      <c r="AA58" s="55"/>
      <c r="AB58" s="55"/>
      <c r="AC58" s="55"/>
      <c r="AD58" s="55"/>
      <c r="AE58" s="55"/>
      <c r="AF58" s="55"/>
      <c r="AG58" s="55"/>
      <c r="AH58" s="55"/>
      <c r="AI58" s="55"/>
      <c r="AJ58" s="55"/>
      <c r="AK58" s="55"/>
      <c r="AL58" s="55"/>
      <c r="AM58" s="55"/>
      <c r="AN58" s="55"/>
      <c r="AO58" s="55"/>
      <c r="AP58" s="55"/>
      <c r="AQ58" s="55">
        <f t="shared" ref="AQ58:AT58" si="192">+AQ37/AQ33</f>
        <v>0.12331971778685481</v>
      </c>
      <c r="AR58" s="55">
        <f t="shared" si="192"/>
        <v>0.12026124712664647</v>
      </c>
      <c r="AS58" s="55">
        <f t="shared" si="192"/>
        <v>0.13125855485915999</v>
      </c>
      <c r="AT58" s="55">
        <f t="shared" si="192"/>
        <v>0.15283196555899367</v>
      </c>
      <c r="AU58" s="55">
        <f t="shared" ref="AU58:AW58" si="193">+AU37/AU33</f>
        <v>9.1427400908128773E-2</v>
      </c>
      <c r="AV58" s="55">
        <f t="shared" si="193"/>
        <v>0.11842455719802904</v>
      </c>
      <c r="AW58" s="55">
        <f t="shared" si="193"/>
        <v>0.11893516530699871</v>
      </c>
      <c r="AX58" s="55">
        <f t="shared" ref="AX58:BR58" si="194">+AX37/AX33</f>
        <v>0.13523768393127064</v>
      </c>
      <c r="AY58" s="55">
        <f t="shared" si="194"/>
        <v>0.11149815498154982</v>
      </c>
      <c r="AZ58" s="55">
        <f t="shared" si="194"/>
        <v>0.10967806438712258</v>
      </c>
      <c r="BA58" s="55">
        <f t="shared" si="194"/>
        <v>0.12645908106185533</v>
      </c>
      <c r="BB58" s="55">
        <f t="shared" si="194"/>
        <v>0.13949218993092288</v>
      </c>
      <c r="BC58" s="55">
        <f t="shared" si="194"/>
        <v>0.11667258312625725</v>
      </c>
      <c r="BD58" s="55">
        <f t="shared" si="194"/>
        <v>0.11936684725038589</v>
      </c>
      <c r="BE58" s="55">
        <f t="shared" si="194"/>
        <v>0.11936443770703498</v>
      </c>
      <c r="BF58" s="55">
        <f t="shared" si="194"/>
        <v>0.14692301672188454</v>
      </c>
      <c r="BG58" s="55">
        <f t="shared" si="194"/>
        <v>0.12386095976779044</v>
      </c>
      <c r="BH58" s="55">
        <f t="shared" si="194"/>
        <v>0.124148794377802</v>
      </c>
      <c r="BI58" s="55">
        <f t="shared" si="194"/>
        <v>0.12362287670631611</v>
      </c>
      <c r="BJ58" s="55">
        <f t="shared" si="194"/>
        <v>0.16811527904849038</v>
      </c>
      <c r="BK58" s="55">
        <f t="shared" si="194"/>
        <v>0.12607041804860683</v>
      </c>
      <c r="BL58" s="55">
        <f t="shared" si="194"/>
        <v>0.1312523020257827</v>
      </c>
      <c r="BM58" s="55">
        <f t="shared" si="194"/>
        <v>0.13839369327952869</v>
      </c>
      <c r="BN58" s="55">
        <f t="shared" si="194"/>
        <v>0.15881450890484794</v>
      </c>
      <c r="BO58" s="55">
        <f t="shared" si="194"/>
        <v>0.13169291037353287</v>
      </c>
      <c r="BP58" s="55">
        <f t="shared" si="194"/>
        <v>0.23752571260652366</v>
      </c>
      <c r="BQ58" s="55">
        <f t="shared" si="194"/>
        <v>0.13305100194920841</v>
      </c>
      <c r="BR58" s="55">
        <f t="shared" si="194"/>
        <v>0.13428568094020987</v>
      </c>
      <c r="BS58" s="55"/>
      <c r="BT58" s="55"/>
      <c r="BU58" s="55"/>
      <c r="BV58" s="55"/>
      <c r="BW58" s="38"/>
      <c r="BX58" s="38"/>
      <c r="BY58" s="38"/>
      <c r="BZ58" s="38"/>
      <c r="CA58" s="38"/>
      <c r="CB58" s="38"/>
      <c r="CC58" s="38"/>
      <c r="CD58" s="38"/>
      <c r="CE58" s="38"/>
      <c r="CF58" s="38"/>
      <c r="CG58" s="38"/>
      <c r="CH58" s="38"/>
      <c r="CI58" s="55"/>
      <c r="CJ58" s="55"/>
      <c r="CK58" s="55"/>
      <c r="CL58" s="55"/>
      <c r="CM58" s="55"/>
      <c r="CN58" s="55"/>
      <c r="CO58" s="55"/>
      <c r="CP58" s="39"/>
      <c r="CQ58" s="39"/>
      <c r="CR58" s="39"/>
      <c r="CS58" s="39"/>
      <c r="CT58" s="39"/>
      <c r="CU58" s="49">
        <f>+CU37/CU33</f>
        <v>0.12622159090909091</v>
      </c>
      <c r="CV58" s="49">
        <f t="shared" ref="CV58:CX58" si="195">+CV37/CV33</f>
        <v>0.13589407416616747</v>
      </c>
      <c r="CW58" s="49">
        <f t="shared" si="195"/>
        <v>0.13968337344625228</v>
      </c>
      <c r="CX58" s="49">
        <f t="shared" si="195"/>
        <v>0.15759479068742402</v>
      </c>
      <c r="CY58" s="39"/>
      <c r="CZ58" s="39"/>
      <c r="DA58" s="39"/>
      <c r="DB58" s="39"/>
      <c r="DC58" s="39"/>
      <c r="DD58" s="39"/>
      <c r="DE58" s="39"/>
      <c r="DF58" s="39"/>
      <c r="DG58" s="39"/>
      <c r="DH58" s="39"/>
      <c r="DI58" s="39"/>
      <c r="DJ58" s="39"/>
      <c r="DK58" s="39"/>
      <c r="DL58" s="39"/>
      <c r="DM58" s="39"/>
      <c r="DN58" s="39"/>
      <c r="DO58" s="39"/>
      <c r="DP58" s="39"/>
      <c r="DQ58" s="39"/>
      <c r="DR58" s="39"/>
      <c r="DS58" s="39"/>
      <c r="DT58" s="39"/>
      <c r="DU58" s="39"/>
      <c r="DV58" s="39"/>
      <c r="DW58" s="39"/>
      <c r="DX58" s="39"/>
      <c r="DY58" s="39"/>
      <c r="DZ58" s="39"/>
      <c r="EA58" s="39"/>
      <c r="EB58" s="39"/>
      <c r="EC58" s="39"/>
      <c r="ED58" s="39"/>
      <c r="EE58" s="39"/>
      <c r="EF58" s="39"/>
      <c r="EG58" s="39"/>
      <c r="EH58" s="39"/>
      <c r="EI58" s="39"/>
      <c r="EJ58" s="39"/>
      <c r="EK58" s="39"/>
      <c r="EL58" s="39"/>
      <c r="EM58" s="39"/>
      <c r="EN58" s="39"/>
      <c r="EO58" s="39"/>
    </row>
    <row r="59" spans="1:145" ht="12.95" customHeight="1">
      <c r="B59" s="36" t="s">
        <v>148</v>
      </c>
      <c r="C59" s="55">
        <f t="shared" ref="C59:N59" si="196">C46/C45</f>
        <v>0.42991631799163182</v>
      </c>
      <c r="D59" s="55">
        <f t="shared" si="196"/>
        <v>0.27451556077510275</v>
      </c>
      <c r="E59" s="55">
        <f t="shared" si="196"/>
        <v>0.25752508361204013</v>
      </c>
      <c r="F59" s="55">
        <f t="shared" si="196"/>
        <v>0.24104234527687296</v>
      </c>
      <c r="G59" s="55">
        <f t="shared" si="196"/>
        <v>0.22995720399429387</v>
      </c>
      <c r="H59" s="55">
        <f t="shared" si="196"/>
        <v>0.22991761071060762</v>
      </c>
      <c r="I59" s="55">
        <f t="shared" si="196"/>
        <v>0.23620737454948712</v>
      </c>
      <c r="J59" s="55">
        <f t="shared" si="196"/>
        <v>0.22359625668449198</v>
      </c>
      <c r="K59" s="55">
        <f t="shared" si="196"/>
        <v>0.23002084781097984</v>
      </c>
      <c r="L59" s="55">
        <f t="shared" si="196"/>
        <v>0.23003472222222221</v>
      </c>
      <c r="M59" s="55">
        <f t="shared" si="196"/>
        <v>0.23002577319587628</v>
      </c>
      <c r="N59" s="55">
        <f t="shared" si="196"/>
        <v>0.25</v>
      </c>
      <c r="O59" s="55"/>
      <c r="P59" s="55"/>
      <c r="Q59" s="55"/>
      <c r="R59" s="55"/>
      <c r="S59" s="55"/>
      <c r="T59" s="55"/>
      <c r="U59" s="55"/>
      <c r="V59" s="55"/>
      <c r="W59" s="55"/>
      <c r="X59" s="55"/>
      <c r="Y59" s="55"/>
      <c r="Z59" s="55"/>
      <c r="AA59" s="55"/>
      <c r="AB59" s="55"/>
      <c r="AC59" s="55"/>
      <c r="AD59" s="55"/>
      <c r="AE59" s="55"/>
      <c r="AF59" s="55"/>
      <c r="AG59" s="55"/>
      <c r="AH59" s="55"/>
      <c r="AI59" s="55"/>
      <c r="AJ59" s="55"/>
      <c r="AK59" s="55"/>
      <c r="AL59" s="55"/>
      <c r="AM59" s="55"/>
      <c r="AN59" s="55"/>
      <c r="AO59" s="55"/>
      <c r="AP59" s="55"/>
      <c r="AQ59" s="55">
        <f t="shared" ref="AQ59:AT59" si="197">+AQ46/AQ45</f>
        <v>0.21000808288632522</v>
      </c>
      <c r="AR59" s="55">
        <f t="shared" si="197"/>
        <v>0.17242758841414627</v>
      </c>
      <c r="AS59" s="55">
        <f t="shared" si="197"/>
        <v>0.18863350691326988</v>
      </c>
      <c r="AT59" s="55">
        <f t="shared" si="197"/>
        <v>0.18061716489874638</v>
      </c>
      <c r="AU59" s="55">
        <f t="shared" ref="AU59:AW59" si="198">+AU46/AU45</f>
        <v>0.21002873997882318</v>
      </c>
      <c r="AV59" s="55">
        <f t="shared" si="198"/>
        <v>0.20996294771510909</v>
      </c>
      <c r="AW59" s="55">
        <f t="shared" si="198"/>
        <v>0.15800776410341125</v>
      </c>
      <c r="AX59" s="55">
        <f t="shared" ref="AX59:BR59" si="199">+AX46/AX45</f>
        <v>0.21319613683545446</v>
      </c>
      <c r="AY59" s="55">
        <f t="shared" si="199"/>
        <v>0.20797550096531522</v>
      </c>
      <c r="AZ59" s="55">
        <f t="shared" si="199"/>
        <v>0.20803518187239117</v>
      </c>
      <c r="BA59" s="55">
        <f t="shared" si="199"/>
        <v>0.18855882121188244</v>
      </c>
      <c r="BB59" s="55">
        <f t="shared" si="199"/>
        <v>0.22362939510081653</v>
      </c>
      <c r="BC59" s="55">
        <f t="shared" si="199"/>
        <v>0.20799347471451876</v>
      </c>
      <c r="BD59" s="55">
        <f t="shared" si="199"/>
        <v>0.18730307702621171</v>
      </c>
      <c r="BE59" s="55">
        <f t="shared" si="199"/>
        <v>0.19805452620434091</v>
      </c>
      <c r="BF59" s="55">
        <f t="shared" si="199"/>
        <v>0.16937390375962785</v>
      </c>
      <c r="BG59" s="55">
        <f t="shared" si="199"/>
        <v>0.20698699704224566</v>
      </c>
      <c r="BH59" s="55">
        <f t="shared" si="199"/>
        <v>0.20702590056564454</v>
      </c>
      <c r="BI59" s="55">
        <f t="shared" si="199"/>
        <v>0.20114241348713399</v>
      </c>
      <c r="BJ59" s="55">
        <f t="shared" si="199"/>
        <v>0.16695268448149056</v>
      </c>
      <c r="BK59" s="55">
        <f t="shared" si="199"/>
        <v>0.19901362331729797</v>
      </c>
      <c r="BL59" s="55">
        <f t="shared" si="199"/>
        <v>0.19897748824936093</v>
      </c>
      <c r="BM59" s="55">
        <f t="shared" si="199"/>
        <v>0.19901649859245268</v>
      </c>
      <c r="BN59" s="55">
        <f t="shared" si="199"/>
        <v>0.20481535119478639</v>
      </c>
      <c r="BO59" s="55">
        <f t="shared" si="199"/>
        <v>0.20399147816279214</v>
      </c>
      <c r="BP59" s="55">
        <f t="shared" si="199"/>
        <v>0.20851097426180326</v>
      </c>
      <c r="BQ59" s="55">
        <f t="shared" si="199"/>
        <v>0.20599697533736622</v>
      </c>
      <c r="BR59" s="55">
        <f t="shared" si="199"/>
        <v>0.2</v>
      </c>
      <c r="BS59" s="55"/>
      <c r="BT59" s="55"/>
      <c r="BU59" s="55"/>
      <c r="BV59" s="55"/>
      <c r="BW59" s="38"/>
      <c r="BX59" s="38"/>
      <c r="BY59" s="38"/>
      <c r="BZ59" s="38"/>
      <c r="CA59" s="38"/>
      <c r="CB59" s="38"/>
      <c r="CC59" s="38"/>
      <c r="CD59" s="38"/>
      <c r="CE59" s="38"/>
      <c r="CF59" s="38"/>
      <c r="CG59" s="38"/>
      <c r="CH59" s="38"/>
      <c r="CI59" s="38"/>
      <c r="CJ59" s="38"/>
      <c r="CK59" s="38"/>
      <c r="CL59" s="38"/>
      <c r="CM59" s="38"/>
      <c r="CN59" s="38"/>
      <c r="CO59" s="38"/>
      <c r="CP59" s="39"/>
      <c r="CQ59" s="39"/>
      <c r="CR59" s="39"/>
      <c r="CS59" s="49">
        <f t="shared" ref="CS59:CV59" si="200">+CS46/CS45</f>
        <v>0.19776326900500485</v>
      </c>
      <c r="CT59" s="49">
        <f t="shared" si="200"/>
        <v>0.20688876341050255</v>
      </c>
      <c r="CU59" s="49">
        <f t="shared" si="200"/>
        <v>0.19165538253215977</v>
      </c>
      <c r="CV59" s="49">
        <f t="shared" si="200"/>
        <v>0.19601227882192812</v>
      </c>
      <c r="CW59" s="49">
        <f>+CW46/CW45</f>
        <v>0.20053690505760743</v>
      </c>
      <c r="CX59" s="49">
        <f>+CX46/CX45</f>
        <v>0.20229924133982252</v>
      </c>
      <c r="CY59" s="39"/>
      <c r="CZ59" s="39"/>
      <c r="DA59" s="39"/>
      <c r="DB59" s="39"/>
      <c r="DC59" s="39"/>
      <c r="DD59" s="39"/>
      <c r="DE59" s="39"/>
      <c r="DF59" s="39"/>
      <c r="DG59" s="39"/>
      <c r="DH59" s="39"/>
      <c r="DI59" s="39"/>
      <c r="DJ59" s="39"/>
      <c r="DK59" s="39"/>
      <c r="DL59" s="39"/>
      <c r="DM59" s="39"/>
      <c r="DN59" s="39"/>
      <c r="DO59" s="39"/>
      <c r="DP59" s="39"/>
      <c r="DQ59" s="39"/>
      <c r="DR59" s="39"/>
      <c r="DS59" s="39"/>
      <c r="DT59" s="39"/>
      <c r="DU59" s="39"/>
      <c r="DV59" s="39"/>
      <c r="DW59" s="39"/>
      <c r="DX59" s="39"/>
      <c r="DY59" s="39"/>
      <c r="DZ59" s="39"/>
      <c r="EA59" s="39"/>
      <c r="EB59" s="39"/>
      <c r="EC59" s="39"/>
      <c r="ED59" s="39"/>
      <c r="EE59" s="39"/>
      <c r="EF59" s="39"/>
      <c r="EG59" s="39"/>
      <c r="EH59" s="39"/>
      <c r="EI59" s="39"/>
      <c r="EJ59" s="39"/>
      <c r="EK59" s="39"/>
      <c r="EL59" s="39"/>
      <c r="EM59" s="39"/>
      <c r="EN59" s="39"/>
      <c r="EO59" s="39"/>
    </row>
    <row r="61" spans="1:145" s="17" customFormat="1" ht="12.95" customHeight="1">
      <c r="A61" s="75"/>
      <c r="B61" s="45" t="s">
        <v>149</v>
      </c>
      <c r="C61" s="56"/>
      <c r="D61" s="56"/>
      <c r="E61" s="56"/>
      <c r="F61" s="56"/>
      <c r="G61" s="56"/>
      <c r="H61" s="56"/>
      <c r="I61" s="56"/>
      <c r="J61" s="56"/>
      <c r="K61" s="56">
        <v>5221</v>
      </c>
      <c r="L61" s="56"/>
      <c r="M61" s="56"/>
      <c r="N61" s="56"/>
      <c r="O61" s="56"/>
      <c r="P61" s="56"/>
      <c r="Q61" s="56"/>
      <c r="R61" s="56"/>
      <c r="S61" s="56"/>
      <c r="T61" s="56"/>
      <c r="U61" s="56"/>
      <c r="V61" s="56"/>
      <c r="W61" s="56"/>
      <c r="X61" s="56"/>
      <c r="Y61" s="56"/>
      <c r="Z61" s="56"/>
      <c r="AA61" s="56"/>
      <c r="AB61" s="56"/>
      <c r="AC61" s="56"/>
      <c r="AD61" s="56"/>
      <c r="AE61" s="56"/>
      <c r="AF61" s="56"/>
      <c r="AG61" s="56"/>
      <c r="AH61" s="56"/>
      <c r="AI61" s="56"/>
      <c r="AJ61" s="56"/>
      <c r="AK61" s="56"/>
      <c r="AL61" s="56"/>
      <c r="AM61" s="56"/>
      <c r="AN61" s="56"/>
      <c r="AO61" s="56"/>
      <c r="AP61" s="56"/>
      <c r="AQ61" s="56">
        <v>13366</v>
      </c>
      <c r="AR61" s="56">
        <v>13589</v>
      </c>
      <c r="AS61" s="56">
        <v>14103</v>
      </c>
      <c r="AT61" s="56">
        <v>15850</v>
      </c>
      <c r="AU61" s="56">
        <v>13904</v>
      </c>
      <c r="AV61" s="56">
        <v>14471</v>
      </c>
      <c r="AW61" s="56">
        <v>15016</v>
      </c>
      <c r="AX61" s="56">
        <v>17066</v>
      </c>
      <c r="AY61" s="56">
        <v>15579</v>
      </c>
      <c r="AZ61" s="56">
        <v>13891</v>
      </c>
      <c r="BA61" s="56">
        <v>14939</v>
      </c>
      <c r="BB61" s="56">
        <v>16708</v>
      </c>
      <c r="BC61" s="56">
        <v>15057</v>
      </c>
      <c r="BD61" s="56">
        <v>14804</v>
      </c>
      <c r="BE61" s="56">
        <v>17285</v>
      </c>
      <c r="BF61" s="56">
        <v>20117</v>
      </c>
      <c r="BG61" s="56">
        <v>19990</v>
      </c>
      <c r="BH61" s="56">
        <v>20703</v>
      </c>
      <c r="BI61" s="56">
        <v>23754</v>
      </c>
      <c r="BJ61" s="56">
        <v>26660</v>
      </c>
      <c r="BK61" s="56">
        <v>29297</v>
      </c>
      <c r="BL61" s="56">
        <v>29663</v>
      </c>
      <c r="BM61" s="56">
        <v>35048</v>
      </c>
      <c r="BN61" s="56">
        <v>42621</v>
      </c>
      <c r="BO61" s="56">
        <v>39280</v>
      </c>
      <c r="BP61" s="56">
        <v>40930</v>
      </c>
      <c r="BQ61" s="56">
        <v>42598</v>
      </c>
      <c r="BR61" s="56"/>
      <c r="BS61" s="56"/>
      <c r="BT61" s="56"/>
      <c r="BU61" s="56"/>
      <c r="BV61" s="56"/>
      <c r="BW61" s="56"/>
      <c r="BX61" s="56"/>
      <c r="BY61" s="56"/>
      <c r="BZ61" s="56"/>
      <c r="CA61" s="56"/>
      <c r="CB61" s="56"/>
      <c r="CC61" s="56"/>
      <c r="CD61" s="56"/>
      <c r="CE61" s="56"/>
      <c r="CF61" s="56"/>
      <c r="CG61" s="56"/>
      <c r="CH61" s="56"/>
      <c r="CI61" s="56"/>
      <c r="CJ61" s="56"/>
      <c r="CK61" s="56"/>
      <c r="CL61" s="56"/>
      <c r="CM61" s="56"/>
      <c r="CN61" s="56"/>
      <c r="CO61" s="56"/>
      <c r="CP61" s="45"/>
      <c r="CQ61" s="45"/>
      <c r="CR61" s="45"/>
      <c r="CS61" s="45"/>
      <c r="CT61" s="45"/>
      <c r="CU61" s="45"/>
      <c r="CV61" s="45"/>
      <c r="CW61" s="45"/>
      <c r="CX61" s="45"/>
      <c r="CY61" s="45"/>
      <c r="CZ61" s="45"/>
      <c r="DA61" s="45"/>
      <c r="DB61" s="45"/>
      <c r="DC61" s="45"/>
      <c r="DD61" s="45"/>
      <c r="DE61" s="45"/>
      <c r="DF61" s="45"/>
      <c r="DG61" s="45"/>
      <c r="DH61" s="45"/>
      <c r="DI61" s="45"/>
      <c r="DJ61" s="45"/>
      <c r="DK61" s="45"/>
      <c r="DL61" s="45"/>
      <c r="DM61" s="45"/>
      <c r="DN61" s="45"/>
      <c r="DO61" s="45"/>
      <c r="DP61" s="45"/>
      <c r="DQ61" s="45"/>
      <c r="DR61" s="45"/>
      <c r="DS61" s="45"/>
      <c r="DT61" s="45"/>
      <c r="DU61" s="45"/>
      <c r="DV61" s="45"/>
      <c r="DW61" s="45"/>
      <c r="DX61" s="45"/>
      <c r="DY61" s="45"/>
      <c r="DZ61" s="45"/>
      <c r="EA61" s="45"/>
      <c r="EB61" s="45"/>
      <c r="EC61" s="45"/>
      <c r="ED61" s="45"/>
      <c r="EE61" s="45"/>
      <c r="EF61" s="45"/>
      <c r="EG61" s="45"/>
      <c r="EH61" s="45"/>
      <c r="EI61" s="45"/>
      <c r="EJ61" s="45"/>
      <c r="EK61" s="45"/>
      <c r="EL61" s="45"/>
      <c r="EM61" s="45"/>
      <c r="EN61" s="45"/>
      <c r="EO61" s="45"/>
    </row>
    <row r="62" spans="1:145" s="17" customFormat="1" ht="12.95" customHeight="1">
      <c r="A62" s="75"/>
      <c r="B62" s="45" t="s">
        <v>150</v>
      </c>
      <c r="C62" s="56"/>
      <c r="D62" s="56"/>
      <c r="E62" s="56"/>
      <c r="F62" s="56"/>
      <c r="G62" s="56"/>
      <c r="H62" s="56"/>
      <c r="I62" s="56"/>
      <c r="J62" s="56"/>
      <c r="K62" s="56">
        <v>4432</v>
      </c>
      <c r="L62" s="56"/>
      <c r="M62" s="56"/>
      <c r="N62" s="56"/>
      <c r="O62" s="56"/>
      <c r="P62" s="56"/>
      <c r="Q62" s="56"/>
      <c r="R62" s="56"/>
      <c r="S62" s="56"/>
      <c r="T62" s="56"/>
      <c r="U62" s="56"/>
      <c r="V62" s="56"/>
      <c r="W62" s="56"/>
      <c r="X62" s="56"/>
      <c r="Y62" s="56"/>
      <c r="Z62" s="56"/>
      <c r="AA62" s="56"/>
      <c r="AB62" s="56"/>
      <c r="AC62" s="56"/>
      <c r="AD62" s="56"/>
      <c r="AE62" s="56"/>
      <c r="AF62" s="56"/>
      <c r="AG62" s="56"/>
      <c r="AH62" s="56"/>
      <c r="AI62" s="56"/>
      <c r="AJ62" s="56"/>
      <c r="AK62" s="56"/>
      <c r="AL62" s="56"/>
      <c r="AM62" s="56"/>
      <c r="AN62" s="56"/>
      <c r="AO62" s="56"/>
      <c r="AP62" s="56"/>
      <c r="AQ62" s="56">
        <f>5233+2899</f>
        <v>8132</v>
      </c>
      <c r="AR62" s="56">
        <f>5460+3194</f>
        <v>8654</v>
      </c>
      <c r="AS62" s="56">
        <f>5392+3067</f>
        <v>8459</v>
      </c>
      <c r="AT62" s="56">
        <f>5594+2993</f>
        <v>8587</v>
      </c>
      <c r="AU62" s="56">
        <f>5505+3738</f>
        <v>9243</v>
      </c>
      <c r="AV62" s="56">
        <f>5862+3547</f>
        <v>9409</v>
      </c>
      <c r="AW62" s="56">
        <f>5738+3525</f>
        <v>9263</v>
      </c>
      <c r="AX62" s="56">
        <f>6157+3279</f>
        <v>9436</v>
      </c>
      <c r="AY62" s="56">
        <v>9674</v>
      </c>
      <c r="AZ62" s="56">
        <v>8167</v>
      </c>
      <c r="BA62" s="56">
        <v>8318</v>
      </c>
      <c r="BB62" s="56">
        <v>8138</v>
      </c>
      <c r="BC62" s="56">
        <v>9530</v>
      </c>
      <c r="BD62" s="56">
        <v>9579</v>
      </c>
      <c r="BE62" s="56">
        <v>9170</v>
      </c>
      <c r="BF62" s="56">
        <v>9427</v>
      </c>
      <c r="BG62" s="56">
        <v>10824</v>
      </c>
      <c r="BH62" s="56">
        <v>10915</v>
      </c>
      <c r="BI62" s="56">
        <v>10983</v>
      </c>
      <c r="BJ62" s="56">
        <v>11514</v>
      </c>
      <c r="BK62" s="56">
        <v>12742</v>
      </c>
      <c r="BL62" s="56">
        <v>12856</v>
      </c>
      <c r="BM62" s="56">
        <v>12563</v>
      </c>
      <c r="BN62" s="56">
        <v>12706</v>
      </c>
      <c r="BO62" s="56">
        <v>14326</v>
      </c>
      <c r="BP62" s="56">
        <v>14581</v>
      </c>
      <c r="BQ62" s="56">
        <v>14736</v>
      </c>
      <c r="BR62" s="56"/>
      <c r="BS62" s="56"/>
      <c r="BT62" s="56"/>
      <c r="BU62" s="56"/>
      <c r="BV62" s="56"/>
      <c r="BW62" s="56"/>
      <c r="BX62" s="56"/>
      <c r="BY62" s="56"/>
      <c r="BZ62" s="56"/>
      <c r="CA62" s="56"/>
      <c r="CB62" s="56"/>
      <c r="CC62" s="56"/>
      <c r="CD62" s="56"/>
      <c r="CE62" s="56"/>
      <c r="CF62" s="56"/>
      <c r="CG62" s="56"/>
      <c r="CH62" s="56"/>
      <c r="CI62" s="56"/>
      <c r="CJ62" s="56"/>
      <c r="CK62" s="56"/>
      <c r="CL62" s="56"/>
      <c r="CM62" s="56"/>
      <c r="CN62" s="56"/>
      <c r="CO62" s="56"/>
      <c r="CP62" s="45"/>
      <c r="CQ62" s="45"/>
      <c r="CR62" s="45"/>
      <c r="CS62" s="45"/>
      <c r="CT62" s="45"/>
      <c r="CU62" s="45"/>
      <c r="CV62" s="45"/>
      <c r="CW62" s="45"/>
      <c r="CX62" s="45"/>
      <c r="CY62" s="45"/>
      <c r="CZ62" s="45"/>
      <c r="DA62" s="45"/>
      <c r="DB62" s="45"/>
      <c r="DC62" s="45"/>
      <c r="DD62" s="45"/>
      <c r="DE62" s="45"/>
      <c r="DF62" s="45"/>
      <c r="DG62" s="45"/>
      <c r="DH62" s="45"/>
      <c r="DI62" s="45"/>
      <c r="DJ62" s="45"/>
      <c r="DK62" s="45"/>
      <c r="DL62" s="45"/>
      <c r="DM62" s="45"/>
      <c r="DN62" s="45"/>
      <c r="DO62" s="45"/>
      <c r="DP62" s="45"/>
      <c r="DQ62" s="45"/>
      <c r="DR62" s="45"/>
      <c r="DS62" s="45"/>
      <c r="DT62" s="45"/>
      <c r="DU62" s="45"/>
      <c r="DV62" s="45"/>
      <c r="DW62" s="45"/>
      <c r="DX62" s="45"/>
      <c r="DY62" s="45"/>
      <c r="DZ62" s="45"/>
      <c r="EA62" s="45"/>
      <c r="EB62" s="45"/>
      <c r="EC62" s="45"/>
      <c r="ED62" s="45"/>
      <c r="EE62" s="45"/>
      <c r="EF62" s="45"/>
      <c r="EG62" s="45"/>
      <c r="EH62" s="45"/>
      <c r="EI62" s="45"/>
      <c r="EJ62" s="45"/>
      <c r="EK62" s="45"/>
      <c r="EL62" s="45"/>
      <c r="EM62" s="45"/>
      <c r="EN62" s="45"/>
      <c r="EO62" s="45"/>
    </row>
    <row r="63" spans="1:145" s="17" customFormat="1" ht="12.95" customHeight="1">
      <c r="A63" s="75"/>
      <c r="B63" s="45" t="s">
        <v>151</v>
      </c>
      <c r="C63" s="56"/>
      <c r="D63" s="56"/>
      <c r="E63" s="56"/>
      <c r="F63" s="56"/>
      <c r="G63" s="56"/>
      <c r="H63" s="56"/>
      <c r="I63" s="56"/>
      <c r="J63" s="56"/>
      <c r="K63" s="56">
        <v>2865</v>
      </c>
      <c r="L63" s="56"/>
      <c r="M63" s="56"/>
      <c r="N63" s="56"/>
      <c r="O63" s="56"/>
      <c r="P63" s="56"/>
      <c r="Q63" s="56"/>
      <c r="R63" s="56"/>
      <c r="S63" s="56"/>
      <c r="T63" s="56"/>
      <c r="U63" s="56"/>
      <c r="V63" s="56"/>
      <c r="W63" s="56"/>
      <c r="X63" s="56"/>
      <c r="Y63" s="56"/>
      <c r="Z63" s="56"/>
      <c r="AA63" s="56"/>
      <c r="AB63" s="56"/>
      <c r="AC63" s="56"/>
      <c r="AD63" s="56"/>
      <c r="AE63" s="56"/>
      <c r="AF63" s="56"/>
      <c r="AG63" s="56"/>
      <c r="AH63" s="56"/>
      <c r="AI63" s="56"/>
      <c r="AJ63" s="56"/>
      <c r="AK63" s="56"/>
      <c r="AL63" s="56"/>
      <c r="AM63" s="56"/>
      <c r="AN63" s="56"/>
      <c r="AO63" s="56"/>
      <c r="AP63" s="56"/>
      <c r="AQ63" s="56">
        <f>3029+1257+1146</f>
        <v>5432</v>
      </c>
      <c r="AR63" s="56">
        <f>2751+1484+929</f>
        <v>5164</v>
      </c>
      <c r="AS63" s="56">
        <f>2793+1446+961</f>
        <v>5200</v>
      </c>
      <c r="AT63" s="56">
        <f>2712+1610+973</f>
        <v>5295</v>
      </c>
      <c r="AU63" s="56">
        <f>3375+1458+1311</f>
        <v>6144</v>
      </c>
      <c r="AV63" s="56">
        <f>3192+1664+1300</f>
        <v>6156</v>
      </c>
      <c r="AW63" s="56">
        <f>3258+1597+1143</f>
        <v>5998</v>
      </c>
      <c r="AX63" s="56">
        <f>3019+1734+1162</f>
        <v>5915</v>
      </c>
      <c r="AY63" s="56">
        <f>3813+4809</f>
        <v>8622</v>
      </c>
      <c r="AZ63" s="56">
        <f>3474+4474</f>
        <v>7948</v>
      </c>
      <c r="BA63" s="56">
        <f>3549+4121</f>
        <v>7670</v>
      </c>
      <c r="BB63" s="56">
        <f>3248+4044</f>
        <v>7292</v>
      </c>
      <c r="BC63" s="56">
        <f>4330+4887</f>
        <v>9217</v>
      </c>
      <c r="BD63" s="56">
        <f>3722+4936</f>
        <v>8658</v>
      </c>
      <c r="BE63" s="56">
        <f>4257+4910</f>
        <v>9167</v>
      </c>
      <c r="BF63" s="56">
        <f>3710+5079</f>
        <v>8789</v>
      </c>
      <c r="BG63" s="56">
        <f>4841+6376</f>
        <v>11217</v>
      </c>
      <c r="BH63" s="56">
        <f>3566+6081</f>
        <v>9647</v>
      </c>
      <c r="BI63" s="56">
        <f>4438+6391</f>
        <v>10829</v>
      </c>
      <c r="BJ63" s="56">
        <f>3364+6554</f>
        <v>9918</v>
      </c>
      <c r="BK63" s="56">
        <f>4461+6867</f>
        <v>11328</v>
      </c>
      <c r="BL63" s="56">
        <f>4467+7314</f>
        <v>11781</v>
      </c>
      <c r="BM63" s="56">
        <f>4341+6779</f>
        <v>11120</v>
      </c>
      <c r="BN63" s="56">
        <f>3418+7118</f>
        <v>10536</v>
      </c>
      <c r="BO63" s="56">
        <f>4506+7237</f>
        <v>11743</v>
      </c>
      <c r="BP63" s="56">
        <f>4963+7586</f>
        <v>12549</v>
      </c>
      <c r="BQ63" s="56">
        <f>4708+9269</f>
        <v>13977</v>
      </c>
      <c r="BR63" s="56"/>
      <c r="BS63" s="56"/>
      <c r="BT63" s="56"/>
      <c r="BU63" s="56"/>
      <c r="BV63" s="56"/>
      <c r="BW63" s="56"/>
      <c r="BX63" s="56"/>
      <c r="BY63" s="56"/>
      <c r="BZ63" s="56"/>
      <c r="CA63" s="56"/>
      <c r="CB63" s="56"/>
      <c r="CC63" s="56"/>
      <c r="CD63" s="56"/>
      <c r="CE63" s="56"/>
      <c r="CF63" s="56"/>
      <c r="CG63" s="56"/>
      <c r="CH63" s="56"/>
      <c r="CI63" s="56"/>
      <c r="CJ63" s="56"/>
      <c r="CK63" s="56"/>
      <c r="CL63" s="56"/>
      <c r="CM63" s="56"/>
      <c r="CN63" s="56"/>
      <c r="CO63" s="56"/>
      <c r="CP63" s="45"/>
      <c r="CQ63" s="45"/>
      <c r="CR63" s="45"/>
      <c r="CS63" s="45"/>
      <c r="CT63" s="45"/>
      <c r="CU63" s="45"/>
      <c r="CV63" s="45"/>
      <c r="CW63" s="45"/>
      <c r="CX63" s="45"/>
      <c r="CY63" s="45"/>
      <c r="CZ63" s="45"/>
      <c r="DA63" s="45"/>
      <c r="DB63" s="45"/>
      <c r="DC63" s="45"/>
      <c r="DD63" s="45"/>
      <c r="DE63" s="45"/>
      <c r="DF63" s="45"/>
      <c r="DG63" s="45"/>
      <c r="DH63" s="45"/>
      <c r="DI63" s="45"/>
      <c r="DJ63" s="45"/>
      <c r="DK63" s="45"/>
      <c r="DL63" s="45"/>
      <c r="DM63" s="45"/>
      <c r="DN63" s="45"/>
      <c r="DO63" s="45"/>
      <c r="DP63" s="45"/>
      <c r="DQ63" s="45"/>
      <c r="DR63" s="45"/>
      <c r="DS63" s="45"/>
      <c r="DT63" s="45"/>
      <c r="DU63" s="45"/>
      <c r="DV63" s="45"/>
      <c r="DW63" s="45"/>
      <c r="DX63" s="45"/>
      <c r="DY63" s="45"/>
      <c r="DZ63" s="45"/>
      <c r="EA63" s="45"/>
      <c r="EB63" s="45"/>
      <c r="EC63" s="45"/>
      <c r="ED63" s="45"/>
      <c r="EE63" s="45"/>
      <c r="EF63" s="45"/>
      <c r="EG63" s="45"/>
      <c r="EH63" s="45"/>
      <c r="EI63" s="45"/>
      <c r="EJ63" s="45"/>
      <c r="EK63" s="45"/>
      <c r="EL63" s="45"/>
      <c r="EM63" s="45"/>
      <c r="EN63" s="45"/>
      <c r="EO63" s="45"/>
    </row>
    <row r="65" spans="1:145" ht="12.95" customHeight="1">
      <c r="B65" s="36" t="s">
        <v>152</v>
      </c>
      <c r="C65" s="38"/>
      <c r="D65" s="38"/>
      <c r="E65" s="38"/>
      <c r="F65" s="38"/>
      <c r="G65" s="56">
        <v>27429</v>
      </c>
      <c r="H65" s="56">
        <v>27998</v>
      </c>
      <c r="I65" s="56">
        <v>28497</v>
      </c>
      <c r="J65" s="56">
        <v>28809</v>
      </c>
      <c r="K65" s="56">
        <v>29154</v>
      </c>
      <c r="L65" s="56">
        <v>29364</v>
      </c>
      <c r="M65" s="56">
        <v>29515</v>
      </c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  <c r="AC65" s="38"/>
      <c r="AD65" s="38"/>
      <c r="AE65" s="38"/>
      <c r="AF65" s="38"/>
      <c r="AG65" s="38"/>
      <c r="AH65" s="38"/>
      <c r="AI65" s="38"/>
      <c r="AJ65" s="38"/>
      <c r="AK65" s="38"/>
      <c r="AL65" s="38"/>
      <c r="AM65" s="56">
        <v>41636</v>
      </c>
      <c r="AN65" s="38"/>
      <c r="AO65" s="38"/>
      <c r="AP65" s="38"/>
      <c r="AQ65" s="56">
        <v>42688</v>
      </c>
      <c r="AR65" s="56">
        <v>43105</v>
      </c>
      <c r="AS65" s="56">
        <v>43161</v>
      </c>
      <c r="AT65" s="56">
        <v>42672</v>
      </c>
      <c r="AU65" s="56">
        <v>42453</v>
      </c>
      <c r="AV65" s="56">
        <v>41611</v>
      </c>
      <c r="AW65" s="56">
        <v>42158</v>
      </c>
      <c r="AX65" s="56">
        <v>42703</v>
      </c>
      <c r="AY65" s="56">
        <v>43158</v>
      </c>
      <c r="AZ65" s="56">
        <v>43526</v>
      </c>
      <c r="BA65" s="56">
        <v>44326</v>
      </c>
      <c r="BB65" s="56">
        <v>44723</v>
      </c>
      <c r="BC65" s="56">
        <v>45157</v>
      </c>
      <c r="BD65" s="56">
        <v>45971</v>
      </c>
      <c r="BE65" s="56">
        <v>46982</v>
      </c>
      <c r="BF65" s="56">
        <v>47792</v>
      </c>
      <c r="BG65" s="56">
        <v>49295</v>
      </c>
      <c r="BH65" s="56">
        <v>50816</v>
      </c>
      <c r="BI65" s="56">
        <v>52696</v>
      </c>
      <c r="BJ65" s="56">
        <v>54393</v>
      </c>
      <c r="BK65" s="56">
        <v>57089</v>
      </c>
      <c r="BL65" s="56">
        <v>59337</v>
      </c>
      <c r="BM65" s="56">
        <v>61412</v>
      </c>
      <c r="BN65" s="56">
        <v>63370</v>
      </c>
      <c r="BO65" s="56">
        <v>66015</v>
      </c>
      <c r="BP65" s="56">
        <v>69260</v>
      </c>
      <c r="BQ65" s="56">
        <v>71880</v>
      </c>
      <c r="BR65" s="38"/>
      <c r="BS65" s="38"/>
      <c r="BT65" s="38"/>
      <c r="BU65" s="38"/>
      <c r="BV65" s="38"/>
      <c r="BW65" s="38"/>
      <c r="BX65" s="38"/>
      <c r="BY65" s="38"/>
      <c r="BZ65" s="38"/>
      <c r="CA65" s="38"/>
      <c r="CB65" s="38"/>
      <c r="CC65" s="38"/>
      <c r="CD65" s="38"/>
      <c r="CE65" s="38"/>
      <c r="CF65" s="38"/>
      <c r="CG65" s="38"/>
      <c r="CH65" s="56">
        <v>27068</v>
      </c>
      <c r="CI65" s="56">
        <v>29329</v>
      </c>
      <c r="CJ65" s="56">
        <v>30483</v>
      </c>
      <c r="CK65" s="56">
        <v>32632</v>
      </c>
      <c r="CL65" s="56">
        <v>34731</v>
      </c>
      <c r="CM65" s="56">
        <v>38436</v>
      </c>
      <c r="CN65" s="56">
        <v>41450</v>
      </c>
      <c r="CO65" s="56">
        <v>41222</v>
      </c>
      <c r="CP65" s="45">
        <v>42446</v>
      </c>
      <c r="CQ65" s="45"/>
      <c r="CR65" s="45"/>
      <c r="CS65" s="45"/>
      <c r="CT65" s="45"/>
      <c r="CU65" s="45">
        <f>+BF65</f>
        <v>47792</v>
      </c>
      <c r="CV65" s="45">
        <f>+BJ65</f>
        <v>54393</v>
      </c>
      <c r="CW65" s="45">
        <f>+BN65</f>
        <v>63370</v>
      </c>
      <c r="CX65" s="39"/>
      <c r="CY65" s="39"/>
      <c r="CZ65" s="39"/>
      <c r="DA65" s="39"/>
      <c r="DB65" s="39"/>
      <c r="DC65" s="39"/>
      <c r="DD65" s="39"/>
      <c r="DE65" s="39"/>
      <c r="DF65" s="39"/>
      <c r="DG65" s="39"/>
      <c r="DH65" s="39"/>
      <c r="DI65" s="39"/>
      <c r="DJ65" s="39"/>
      <c r="DK65" s="39"/>
      <c r="DL65" s="39"/>
      <c r="DM65" s="39"/>
      <c r="DN65" s="39"/>
      <c r="DO65" s="39"/>
      <c r="DP65" s="39"/>
      <c r="DQ65" s="39"/>
      <c r="DR65" s="39"/>
      <c r="DS65" s="39"/>
      <c r="DT65" s="39"/>
      <c r="DU65" s="39"/>
      <c r="DV65" s="39"/>
      <c r="DW65" s="39"/>
      <c r="DX65" s="39"/>
      <c r="DY65" s="39"/>
      <c r="DZ65" s="39"/>
      <c r="EA65" s="39"/>
      <c r="EB65" s="39"/>
      <c r="EC65" s="39"/>
      <c r="ED65" s="39"/>
      <c r="EE65" s="39"/>
      <c r="EF65" s="39"/>
      <c r="EG65" s="39"/>
      <c r="EH65" s="39"/>
      <c r="EI65" s="39"/>
      <c r="EJ65" s="39"/>
      <c r="EK65" s="39"/>
      <c r="EL65" s="39"/>
      <c r="EM65" s="39"/>
      <c r="EN65" s="39"/>
      <c r="EO65" s="39"/>
    </row>
    <row r="67" spans="1:145" s="17" customFormat="1" ht="12.95" customHeight="1">
      <c r="A67" s="75"/>
      <c r="B67" s="45" t="s">
        <v>213</v>
      </c>
      <c r="C67" s="61"/>
      <c r="D67" s="61"/>
      <c r="E67" s="61"/>
      <c r="F67" s="61"/>
      <c r="G67" s="61"/>
      <c r="H67" s="61"/>
      <c r="I67" s="61"/>
      <c r="J67" s="61"/>
      <c r="K67" s="61"/>
      <c r="L67" s="61"/>
      <c r="M67" s="61"/>
      <c r="N67" s="61"/>
      <c r="O67" s="61"/>
      <c r="P67" s="61"/>
      <c r="Q67" s="61"/>
      <c r="R67" s="61"/>
      <c r="S67" s="61"/>
      <c r="T67" s="61"/>
      <c r="U67" s="61"/>
      <c r="V67" s="61"/>
      <c r="W67" s="61"/>
      <c r="X67" s="61"/>
      <c r="Y67" s="61"/>
      <c r="Z67" s="61"/>
      <c r="AA67" s="61"/>
      <c r="AB67" s="61"/>
      <c r="AC67" s="61"/>
      <c r="AD67" s="61"/>
      <c r="AE67" s="61"/>
      <c r="AF67" s="61"/>
      <c r="AG67" s="61"/>
      <c r="AH67" s="61"/>
      <c r="AI67" s="61"/>
      <c r="AJ67" s="61"/>
      <c r="AK67" s="61"/>
      <c r="AL67" s="61"/>
      <c r="AM67" s="61"/>
      <c r="AN67" s="61"/>
      <c r="AO67" s="61"/>
      <c r="AP67" s="61"/>
      <c r="AQ67" s="61">
        <f t="shared" ref="AQ67:AY67" si="201">+AQ68-AQ77</f>
        <v>13791</v>
      </c>
      <c r="AR67" s="61">
        <f t="shared" si="201"/>
        <v>18787</v>
      </c>
      <c r="AS67" s="61">
        <f t="shared" si="201"/>
        <v>16158</v>
      </c>
      <c r="AT67" s="61">
        <f t="shared" si="201"/>
        <v>15076</v>
      </c>
      <c r="AU67" s="61">
        <f t="shared" si="201"/>
        <v>4405</v>
      </c>
      <c r="AV67" s="61">
        <f t="shared" si="201"/>
        <v>11306</v>
      </c>
      <c r="AW67" s="61">
        <f t="shared" si="201"/>
        <v>15270</v>
      </c>
      <c r="AX67" s="61">
        <f t="shared" si="201"/>
        <v>12254</v>
      </c>
      <c r="AY67" s="61">
        <f t="shared" si="201"/>
        <v>6964</v>
      </c>
      <c r="AZ67" s="61">
        <f t="shared" ref="AZ67" si="202">+AZ68-AZ77</f>
        <v>22884</v>
      </c>
      <c r="BA67" s="61">
        <f t="shared" ref="BA67" si="203">+BA68-BA77</f>
        <v>23695</v>
      </c>
      <c r="BB67" s="61">
        <f t="shared" ref="BB67" si="204">+BB68-BB77</f>
        <v>5016</v>
      </c>
      <c r="BC67" s="61">
        <f t="shared" ref="BC67:BF67" si="205">+BC68-BC77</f>
        <v>-322</v>
      </c>
      <c r="BD67" s="61">
        <f t="shared" si="205"/>
        <v>15382</v>
      </c>
      <c r="BE67" s="61">
        <f t="shared" si="205"/>
        <v>23282</v>
      </c>
      <c r="BF67" s="61">
        <f t="shared" si="205"/>
        <v>-8213</v>
      </c>
      <c r="BG67" s="61">
        <f>+BG68-BG77</f>
        <v>-4405</v>
      </c>
      <c r="BH67" s="61">
        <f>+BH68-BH77</f>
        <v>6059</v>
      </c>
      <c r="BI67" s="61">
        <f>+BI68-BI77</f>
        <v>11437</v>
      </c>
      <c r="BJ67" s="61">
        <f t="shared" ref="BJ67:BN67" si="206">+BJ68-BJ77</f>
        <v>-1043</v>
      </c>
      <c r="BK67" s="61">
        <f t="shared" si="206"/>
        <v>3818</v>
      </c>
      <c r="BL67" s="61">
        <f t="shared" si="206"/>
        <v>13246</v>
      </c>
      <c r="BM67" s="61">
        <f t="shared" si="206"/>
        <v>23113</v>
      </c>
      <c r="BN67" s="61">
        <f t="shared" si="206"/>
        <v>5959</v>
      </c>
      <c r="BO67" s="61">
        <f>+BO68-BO77</f>
        <v>-16723</v>
      </c>
      <c r="BP67" s="61">
        <f>+BP68-BP77</f>
        <v>7250</v>
      </c>
      <c r="BQ67" s="61">
        <f>+BQ68-BQ77</f>
        <v>18181</v>
      </c>
      <c r="BR67" s="61">
        <f>+BQ67+BR47</f>
        <v>51215.560000000005</v>
      </c>
      <c r="BS67" s="61"/>
      <c r="BT67" s="61"/>
      <c r="BU67" s="61"/>
      <c r="BV67" s="61"/>
      <c r="BW67" s="61"/>
      <c r="BX67" s="61"/>
      <c r="BY67" s="61"/>
      <c r="BZ67" s="61"/>
      <c r="CA67" s="61"/>
      <c r="CB67" s="61"/>
      <c r="CC67" s="61"/>
      <c r="CD67" s="61"/>
      <c r="CE67" s="61"/>
      <c r="CF67" s="61"/>
      <c r="CG67" s="61"/>
      <c r="CH67" s="61"/>
      <c r="CI67" s="61"/>
      <c r="CJ67" s="61"/>
      <c r="CK67" s="61"/>
      <c r="CL67" s="61"/>
      <c r="CM67" s="61"/>
      <c r="CN67" s="61"/>
      <c r="CO67" s="61"/>
      <c r="CX67" s="17">
        <f>+BR67</f>
        <v>51215.560000000005</v>
      </c>
      <c r="CY67" s="17">
        <f>+CX67+CY47</f>
        <v>199759.49687999999</v>
      </c>
      <c r="CZ67" s="17">
        <f t="shared" ref="CZ67:DI67" si="207">+CY67+CZ47</f>
        <v>436363.40123504004</v>
      </c>
      <c r="DA67" s="17">
        <f t="shared" si="207"/>
        <v>734839.42076592043</v>
      </c>
      <c r="DB67" s="17">
        <f t="shared" si="207"/>
        <v>1088370.0436169978</v>
      </c>
      <c r="DC67" s="17">
        <f t="shared" si="207"/>
        <v>1502774.4263847363</v>
      </c>
      <c r="DD67" s="17">
        <f t="shared" si="207"/>
        <v>1971473.3390614865</v>
      </c>
      <c r="DE67" s="17">
        <f t="shared" si="207"/>
        <v>2336762.3171406621</v>
      </c>
      <c r="DF67" s="17">
        <f t="shared" si="207"/>
        <v>2632120.9911799114</v>
      </c>
      <c r="DG67" s="17">
        <f t="shared" si="207"/>
        <v>2885933.1645720252</v>
      </c>
      <c r="DH67" s="17">
        <f t="shared" si="207"/>
        <v>3114348.6534675132</v>
      </c>
      <c r="DI67" s="17">
        <f t="shared" si="207"/>
        <v>3322941.3785473085</v>
      </c>
    </row>
    <row r="68" spans="1:145" s="17" customFormat="1" ht="12.95" customHeight="1">
      <c r="A68" s="75"/>
      <c r="B68" s="45" t="s">
        <v>200</v>
      </c>
      <c r="C68" s="61"/>
      <c r="D68" s="61"/>
      <c r="E68" s="61"/>
      <c r="F68" s="61"/>
      <c r="G68" s="61"/>
      <c r="H68" s="61"/>
      <c r="I68" s="61"/>
      <c r="J68" s="61"/>
      <c r="K68" s="61"/>
      <c r="L68" s="61"/>
      <c r="M68" s="61"/>
      <c r="N68" s="61"/>
      <c r="O68" s="61"/>
      <c r="P68" s="61"/>
      <c r="Q68" s="61"/>
      <c r="R68" s="61"/>
      <c r="S68" s="61"/>
      <c r="T68" s="61"/>
      <c r="U68" s="61"/>
      <c r="V68" s="61"/>
      <c r="W68" s="61"/>
      <c r="X68" s="61"/>
      <c r="Y68" s="61"/>
      <c r="Z68" s="61"/>
      <c r="AA68" s="61"/>
      <c r="AB68" s="61"/>
      <c r="AC68" s="61"/>
      <c r="AD68" s="61"/>
      <c r="AE68" s="61"/>
      <c r="AF68" s="61"/>
      <c r="AG68" s="61"/>
      <c r="AH68" s="61"/>
      <c r="AI68" s="61"/>
      <c r="AJ68" s="61"/>
      <c r="AK68" s="61"/>
      <c r="AL68" s="61"/>
      <c r="AM68" s="61"/>
      <c r="AN68" s="61"/>
      <c r="AO68" s="61"/>
      <c r="AP68" s="61"/>
      <c r="AQ68" s="61">
        <f>10513+2224+1030+530</f>
        <v>14297</v>
      </c>
      <c r="AR68" s="61">
        <f>18393+643+988+533</f>
        <v>20557</v>
      </c>
      <c r="AS68" s="61">
        <f>16401+244+1016+528</f>
        <v>18189</v>
      </c>
      <c r="AT68" s="61">
        <f>15638+204+1242+531</f>
        <v>17615</v>
      </c>
      <c r="AU68" s="61">
        <f>9055+281+1190+516</f>
        <v>11042</v>
      </c>
      <c r="AV68" s="61">
        <f>14457+134+1101+997</f>
        <v>16689</v>
      </c>
      <c r="AW68" s="61">
        <f>18757+612+1194+868</f>
        <v>21431</v>
      </c>
      <c r="AX68" s="61">
        <f>15475+188+1334+474</f>
        <v>17471</v>
      </c>
      <c r="AY68" s="61">
        <f>9765+598+1259+466</f>
        <v>12088</v>
      </c>
      <c r="AZ68" s="61">
        <f>24874+750+1383+467</f>
        <v>27474</v>
      </c>
      <c r="BA68" s="61">
        <f>25480+1688+1032+601</f>
        <v>28801</v>
      </c>
      <c r="BB68" s="61">
        <f>12757+2332+582+1066</f>
        <v>16737</v>
      </c>
      <c r="BC68" s="61">
        <f>5683+1153+1983+1186+563</f>
        <v>10568</v>
      </c>
      <c r="BD68" s="61">
        <f>24229+885+2987+1273+566</f>
        <v>29940</v>
      </c>
      <c r="BE68" s="61">
        <f>29493+1472+5897+1217+561</f>
        <v>38640</v>
      </c>
      <c r="BF68" s="61">
        <f>10720+1690+6765+525+916</f>
        <v>20616</v>
      </c>
      <c r="BG68" s="61">
        <f>13394+813+1936+6752+466</f>
        <v>23361</v>
      </c>
      <c r="BH68" s="61">
        <f>22758+3597+8279+463+779</f>
        <v>35876</v>
      </c>
      <c r="BI68" s="61">
        <f>28465+5277+9008+781+458</f>
        <v>43989</v>
      </c>
      <c r="BJ68" s="61">
        <f>12653+2727+10921+1016+327</f>
        <v>27644</v>
      </c>
      <c r="BK68" s="61">
        <f>14936+2636+12835+941+270</f>
        <v>31618</v>
      </c>
      <c r="BL68" s="61">
        <f>21574+2602+14834+1209+270</f>
        <v>40489</v>
      </c>
      <c r="BM68" s="61">
        <f>30144+3106+17451+1202+269</f>
        <v>52172</v>
      </c>
      <c r="BN68" s="61">
        <f>14392+2344+15838+1253+410</f>
        <v>34237</v>
      </c>
      <c r="BO68" s="61">
        <f>6324+1768+2979+1244</f>
        <v>12315</v>
      </c>
      <c r="BP68" s="61">
        <f>52821+2360+9833+412+1247</f>
        <v>66673</v>
      </c>
      <c r="BQ68" s="61">
        <f>57018+2706+17863+1643+404</f>
        <v>79634</v>
      </c>
      <c r="BR68" s="61"/>
      <c r="BS68" s="61"/>
      <c r="BT68" s="61"/>
      <c r="BU68" s="61"/>
      <c r="BV68" s="61"/>
      <c r="BW68" s="61"/>
      <c r="BX68" s="61"/>
      <c r="BY68" s="61"/>
      <c r="BZ68" s="61"/>
      <c r="CA68" s="61"/>
      <c r="CB68" s="61"/>
      <c r="CC68" s="61"/>
      <c r="CD68" s="61"/>
      <c r="CE68" s="61"/>
      <c r="CF68" s="61"/>
      <c r="CG68" s="61"/>
      <c r="CH68" s="61"/>
      <c r="CI68" s="61"/>
      <c r="CJ68" s="61"/>
      <c r="CK68" s="61"/>
      <c r="CL68" s="61"/>
      <c r="CM68" s="61"/>
      <c r="CN68" s="61"/>
      <c r="CO68" s="61"/>
    </row>
    <row r="69" spans="1:145" s="17" customFormat="1" ht="12.95" customHeight="1">
      <c r="A69" s="75"/>
      <c r="B69" s="45" t="s">
        <v>132</v>
      </c>
      <c r="C69" s="61"/>
      <c r="D69" s="61"/>
      <c r="E69" s="61"/>
      <c r="F69" s="61"/>
      <c r="G69" s="61"/>
      <c r="H69" s="61"/>
      <c r="I69" s="61"/>
      <c r="J69" s="61"/>
      <c r="K69" s="61"/>
      <c r="L69" s="61"/>
      <c r="M69" s="61"/>
      <c r="N69" s="61"/>
      <c r="O69" s="61"/>
      <c r="P69" s="61"/>
      <c r="Q69" s="61"/>
      <c r="R69" s="61"/>
      <c r="S69" s="61"/>
      <c r="T69" s="61"/>
      <c r="U69" s="61"/>
      <c r="V69" s="61"/>
      <c r="W69" s="61"/>
      <c r="X69" s="61"/>
      <c r="Y69" s="61"/>
      <c r="Z69" s="61"/>
      <c r="AA69" s="61"/>
      <c r="AB69" s="61"/>
      <c r="AC69" s="61"/>
      <c r="AD69" s="61"/>
      <c r="AE69" s="61"/>
      <c r="AF69" s="61"/>
      <c r="AG69" s="61"/>
      <c r="AH69" s="61"/>
      <c r="AI69" s="61"/>
      <c r="AJ69" s="61"/>
      <c r="AK69" s="61"/>
      <c r="AL69" s="61"/>
      <c r="AM69" s="61"/>
      <c r="AN69" s="61"/>
      <c r="AO69" s="61"/>
      <c r="AP69" s="61"/>
      <c r="AQ69" s="61">
        <v>2660</v>
      </c>
      <c r="AR69" s="61">
        <v>2635</v>
      </c>
      <c r="AS69" s="61">
        <v>2725</v>
      </c>
      <c r="AT69" s="61">
        <v>3090</v>
      </c>
      <c r="AU69" s="61">
        <v>3164</v>
      </c>
      <c r="AV69" s="61">
        <v>3279</v>
      </c>
      <c r="AW69" s="61">
        <v>3548</v>
      </c>
      <c r="AX69" s="61">
        <f>3434+841</f>
        <v>4275</v>
      </c>
      <c r="AY69" s="61">
        <f>3666+708</f>
        <v>4374</v>
      </c>
      <c r="AZ69" s="61">
        <v>4201</v>
      </c>
      <c r="BA69" s="61">
        <v>3613</v>
      </c>
      <c r="BB69" s="61">
        <f>4161+674</f>
        <v>4835</v>
      </c>
      <c r="BC69" s="61">
        <v>3991</v>
      </c>
      <c r="BD69" s="61">
        <f>3781+413</f>
        <v>4194</v>
      </c>
      <c r="BE69" s="61">
        <f>5202+332</f>
        <v>5534</v>
      </c>
      <c r="BF69" s="61">
        <f>5037+267</f>
        <v>5304</v>
      </c>
      <c r="BG69" s="61">
        <f>4824+239</f>
        <v>5063</v>
      </c>
      <c r="BH69" s="61">
        <f>4645+252</f>
        <v>4897</v>
      </c>
      <c r="BI69" s="61">
        <f>5406+247</f>
        <v>5653</v>
      </c>
      <c r="BJ69" s="61">
        <f>6005+206</f>
        <v>6211</v>
      </c>
      <c r="BK69" s="61">
        <f>6286+288</f>
        <v>6574</v>
      </c>
      <c r="BL69" s="61">
        <f>6448+338</f>
        <v>6786</v>
      </c>
      <c r="BM69" s="61">
        <f>7837+430</f>
        <v>8267</v>
      </c>
      <c r="BN69" s="61">
        <v>8068</v>
      </c>
      <c r="BO69" s="61">
        <f>8643+2012+407</f>
        <v>11062</v>
      </c>
      <c r="BP69" s="61">
        <f>9667+2178</f>
        <v>11845</v>
      </c>
      <c r="BQ69" s="61">
        <f>10132+2456</f>
        <v>12588</v>
      </c>
      <c r="BR69" s="61"/>
      <c r="BS69" s="61"/>
      <c r="BT69" s="61"/>
      <c r="BU69" s="61"/>
      <c r="BV69" s="61"/>
      <c r="BW69" s="61"/>
      <c r="BX69" s="61"/>
      <c r="BY69" s="61"/>
      <c r="BZ69" s="61"/>
      <c r="CA69" s="61"/>
      <c r="CB69" s="61"/>
      <c r="CC69" s="61"/>
      <c r="CD69" s="61"/>
      <c r="CE69" s="61"/>
      <c r="CF69" s="61"/>
      <c r="CG69" s="61"/>
      <c r="CH69" s="61"/>
      <c r="CI69" s="61"/>
      <c r="CJ69" s="61"/>
      <c r="CK69" s="61"/>
      <c r="CL69" s="61"/>
      <c r="CM69" s="61"/>
      <c r="CN69" s="61"/>
      <c r="CO69" s="61"/>
    </row>
    <row r="70" spans="1:145" s="17" customFormat="1" ht="12.95" customHeight="1">
      <c r="A70" s="75"/>
      <c r="B70" s="45" t="s">
        <v>206</v>
      </c>
      <c r="C70" s="61"/>
      <c r="D70" s="61"/>
      <c r="E70" s="61"/>
      <c r="F70" s="61"/>
      <c r="G70" s="61"/>
      <c r="H70" s="61"/>
      <c r="I70" s="61"/>
      <c r="J70" s="61"/>
      <c r="K70" s="61"/>
      <c r="L70" s="61"/>
      <c r="M70" s="61"/>
      <c r="N70" s="61"/>
      <c r="O70" s="61"/>
      <c r="P70" s="61"/>
      <c r="Q70" s="61"/>
      <c r="R70" s="61"/>
      <c r="S70" s="61"/>
      <c r="T70" s="61"/>
      <c r="U70" s="61"/>
      <c r="V70" s="61"/>
      <c r="W70" s="61"/>
      <c r="X70" s="61"/>
      <c r="Y70" s="61"/>
      <c r="Z70" s="61"/>
      <c r="AA70" s="61"/>
      <c r="AB70" s="61"/>
      <c r="AC70" s="61"/>
      <c r="AD70" s="61"/>
      <c r="AE70" s="61"/>
      <c r="AF70" s="61"/>
      <c r="AG70" s="61"/>
      <c r="AH70" s="61"/>
      <c r="AI70" s="61"/>
      <c r="AJ70" s="61"/>
      <c r="AK70" s="61"/>
      <c r="AL70" s="61"/>
      <c r="AM70" s="61"/>
      <c r="AN70" s="61"/>
      <c r="AO70" s="61"/>
      <c r="AP70" s="61"/>
      <c r="AQ70" s="61">
        <f>2309+1914</f>
        <v>4223</v>
      </c>
      <c r="AR70" s="61">
        <f>724+2057</f>
        <v>2781</v>
      </c>
      <c r="AS70" s="61">
        <f>309+2051</f>
        <v>2360</v>
      </c>
      <c r="AT70" s="61">
        <f>1013+2893</f>
        <v>3906</v>
      </c>
      <c r="AU70" s="61">
        <f>1910+3043</f>
        <v>4953</v>
      </c>
      <c r="AV70" s="61">
        <f>475+2987</f>
        <v>3462</v>
      </c>
      <c r="AW70" s="61">
        <f>455+4113</f>
        <v>4568</v>
      </c>
      <c r="AX70" s="61">
        <f>806+4121</f>
        <v>4927</v>
      </c>
      <c r="AY70" s="61">
        <f>1812+3929</f>
        <v>5741</v>
      </c>
      <c r="AZ70" s="61">
        <f>259+3768</f>
        <v>4027</v>
      </c>
      <c r="BA70" s="61">
        <f>423+4745</f>
        <v>5168</v>
      </c>
      <c r="BB70" s="61">
        <f>289+5865</f>
        <v>6154</v>
      </c>
      <c r="BC70" s="61">
        <f>1897+5912</f>
        <v>7809</v>
      </c>
      <c r="BD70" s="61">
        <f>344+6349</f>
        <v>6693</v>
      </c>
      <c r="BE70" s="61">
        <f>390+7372</f>
        <v>7762</v>
      </c>
      <c r="BF70" s="61">
        <f>1119+8672</f>
        <v>9791</v>
      </c>
      <c r="BG70" s="61">
        <f>3101+9338</f>
        <v>12439</v>
      </c>
      <c r="BH70" s="61">
        <f>1168+10309</f>
        <v>11477</v>
      </c>
      <c r="BI70" s="61">
        <f>2541+11303</f>
        <v>13844</v>
      </c>
      <c r="BJ70" s="61">
        <f>940+13427</f>
        <v>14367</v>
      </c>
      <c r="BK70" s="61">
        <f>1133+14080</f>
        <v>15213</v>
      </c>
      <c r="BL70" s="61">
        <f>2779+15612</f>
        <v>18391</v>
      </c>
      <c r="BM70" s="61">
        <f>1525+18814</f>
        <v>20339</v>
      </c>
      <c r="BN70" s="56">
        <f>20380+2423</f>
        <v>22803</v>
      </c>
      <c r="BO70" s="61">
        <f>6108+20967</f>
        <v>27075</v>
      </c>
      <c r="BP70" s="61">
        <f>2898+22565</f>
        <v>25463</v>
      </c>
      <c r="BQ70" s="61">
        <f>3198+23458</f>
        <v>26656</v>
      </c>
      <c r="BR70" s="61"/>
      <c r="BS70" s="61"/>
      <c r="BT70" s="61"/>
      <c r="BU70" s="61"/>
      <c r="BV70" s="61"/>
      <c r="BW70" s="61"/>
      <c r="BX70" s="61"/>
      <c r="BY70" s="61"/>
      <c r="BZ70" s="61"/>
      <c r="CA70" s="61"/>
      <c r="CB70" s="61"/>
      <c r="CC70" s="61"/>
      <c r="CD70" s="61"/>
      <c r="CE70" s="61"/>
      <c r="CF70" s="61"/>
      <c r="CG70" s="61"/>
      <c r="CH70" s="61"/>
      <c r="CI70" s="61"/>
      <c r="CJ70" s="61"/>
      <c r="CK70" s="61"/>
      <c r="CL70" s="61"/>
      <c r="CM70" s="61"/>
      <c r="CN70" s="61"/>
      <c r="CO70" s="61"/>
    </row>
    <row r="71" spans="1:145" s="17" customFormat="1" ht="12.95" customHeight="1">
      <c r="A71" s="75"/>
      <c r="B71" s="45" t="s">
        <v>205</v>
      </c>
      <c r="C71" s="61"/>
      <c r="D71" s="61"/>
      <c r="E71" s="61"/>
      <c r="F71" s="61"/>
      <c r="G71" s="61"/>
      <c r="H71" s="61"/>
      <c r="I71" s="61"/>
      <c r="J71" s="61"/>
      <c r="K71" s="61"/>
      <c r="L71" s="61"/>
      <c r="M71" s="61"/>
      <c r="N71" s="61"/>
      <c r="O71" s="61"/>
      <c r="P71" s="61"/>
      <c r="Q71" s="61"/>
      <c r="R71" s="61"/>
      <c r="S71" s="61"/>
      <c r="T71" s="61"/>
      <c r="U71" s="61"/>
      <c r="V71" s="61"/>
      <c r="W71" s="61"/>
      <c r="X71" s="61"/>
      <c r="Y71" s="61"/>
      <c r="Z71" s="61"/>
      <c r="AA71" s="61"/>
      <c r="AB71" s="61"/>
      <c r="AC71" s="61"/>
      <c r="AD71" s="61"/>
      <c r="AE71" s="61"/>
      <c r="AF71" s="61"/>
      <c r="AG71" s="61"/>
      <c r="AH71" s="61"/>
      <c r="AI71" s="61"/>
      <c r="AJ71" s="61"/>
      <c r="AK71" s="61"/>
      <c r="AL71" s="61"/>
      <c r="AM71" s="61"/>
      <c r="AN71" s="61"/>
      <c r="AO71" s="61"/>
      <c r="AP71" s="61"/>
      <c r="AQ71" s="61">
        <v>16342</v>
      </c>
      <c r="AR71" s="61">
        <v>18973</v>
      </c>
      <c r="AS71" s="61">
        <v>18534</v>
      </c>
      <c r="AT71" s="61">
        <v>22786</v>
      </c>
      <c r="AU71" s="61">
        <v>21486</v>
      </c>
      <c r="AV71" s="61">
        <v>23246</v>
      </c>
      <c r="AW71" s="61">
        <v>22519</v>
      </c>
      <c r="AX71" s="61">
        <v>24912</v>
      </c>
      <c r="AY71" s="61">
        <v>30091</v>
      </c>
      <c r="AZ71" s="61">
        <f>25686+637</f>
        <v>26323</v>
      </c>
      <c r="BA71" s="61">
        <f>24358+562</f>
        <v>24920</v>
      </c>
      <c r="BB71" s="61">
        <v>27734</v>
      </c>
      <c r="BC71" s="61">
        <f>28029+551</f>
        <v>28580</v>
      </c>
      <c r="BD71" s="61">
        <v>26098</v>
      </c>
      <c r="BE71" s="61">
        <v>29860</v>
      </c>
      <c r="BF71" s="61">
        <v>40643</v>
      </c>
      <c r="BG71" s="61">
        <v>36241</v>
      </c>
      <c r="BH71" s="61">
        <v>40826</v>
      </c>
      <c r="BI71" s="61">
        <v>45563</v>
      </c>
      <c r="BJ71" s="61">
        <v>50560</v>
      </c>
      <c r="BK71" s="61">
        <v>50502</v>
      </c>
      <c r="BL71" s="61">
        <v>61294</v>
      </c>
      <c r="BM71" s="61">
        <v>52602</v>
      </c>
      <c r="BN71" s="61">
        <f>1430+64770</f>
        <v>66200</v>
      </c>
      <c r="BO71" s="61">
        <v>56999</v>
      </c>
      <c r="BP71" s="61">
        <v>63565</v>
      </c>
      <c r="BQ71" s="61">
        <v>66299</v>
      </c>
      <c r="BR71" s="61"/>
      <c r="BS71" s="61"/>
      <c r="BT71" s="61"/>
      <c r="BU71" s="61"/>
      <c r="BV71" s="61"/>
      <c r="BW71" s="61"/>
      <c r="BX71" s="61"/>
      <c r="BY71" s="61"/>
      <c r="BZ71" s="61"/>
      <c r="CA71" s="61"/>
      <c r="CB71" s="61"/>
      <c r="CC71" s="61"/>
      <c r="CD71" s="61"/>
      <c r="CE71" s="61"/>
      <c r="CF71" s="61"/>
      <c r="CG71" s="61"/>
      <c r="CH71" s="61"/>
      <c r="CI71" s="61"/>
      <c r="CJ71" s="61"/>
      <c r="CK71" s="61"/>
      <c r="CL71" s="61"/>
      <c r="CM71" s="61"/>
      <c r="CN71" s="61"/>
      <c r="CO71" s="61"/>
    </row>
    <row r="72" spans="1:145" s="17" customFormat="1" ht="12.95" customHeight="1">
      <c r="A72" s="75"/>
      <c r="B72" s="45" t="s">
        <v>204</v>
      </c>
      <c r="C72" s="61"/>
      <c r="D72" s="61"/>
      <c r="E72" s="61"/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>
        <v>15867</v>
      </c>
      <c r="AR72" s="61">
        <v>16134</v>
      </c>
      <c r="AS72" s="61">
        <v>15922</v>
      </c>
      <c r="AT72" s="61">
        <v>16336</v>
      </c>
      <c r="AU72" s="61">
        <v>16838</v>
      </c>
      <c r="AV72" s="56">
        <v>17129</v>
      </c>
      <c r="AW72" s="61">
        <v>17509</v>
      </c>
      <c r="AX72" s="61">
        <v>17641</v>
      </c>
      <c r="AY72" s="61">
        <v>17261</v>
      </c>
      <c r="AZ72" s="61">
        <v>17809</v>
      </c>
      <c r="BA72" s="61">
        <v>18105</v>
      </c>
      <c r="BB72" s="61">
        <v>18536</v>
      </c>
      <c r="BC72" s="61">
        <v>18653</v>
      </c>
      <c r="BD72" s="61">
        <v>18822</v>
      </c>
      <c r="BE72" s="61">
        <v>18899</v>
      </c>
      <c r="BF72" s="61">
        <v>19621</v>
      </c>
      <c r="BG72" s="61">
        <v>20289</v>
      </c>
      <c r="BH72" s="61">
        <v>21706</v>
      </c>
      <c r="BI72" s="61">
        <v>23222</v>
      </c>
      <c r="BJ72" s="61">
        <v>24388</v>
      </c>
      <c r="BK72" s="61">
        <v>25615</v>
      </c>
      <c r="BL72" s="61">
        <v>28020</v>
      </c>
      <c r="BM72" s="61">
        <v>29534</v>
      </c>
      <c r="BN72" s="61">
        <v>31811</v>
      </c>
      <c r="BO72" s="61">
        <v>33600</v>
      </c>
      <c r="BP72" s="61">
        <v>36356</v>
      </c>
      <c r="BQ72" s="61">
        <v>37944</v>
      </c>
      <c r="BR72" s="61"/>
      <c r="BS72" s="61"/>
      <c r="BT72" s="61"/>
      <c r="BU72" s="61"/>
      <c r="BV72" s="61"/>
      <c r="BW72" s="61"/>
      <c r="BX72" s="61"/>
      <c r="BY72" s="61"/>
      <c r="BZ72" s="61"/>
      <c r="CA72" s="61"/>
      <c r="CB72" s="61"/>
      <c r="CC72" s="61"/>
      <c r="CD72" s="61"/>
      <c r="CE72" s="61"/>
      <c r="CF72" s="61"/>
      <c r="CG72" s="61"/>
      <c r="CH72" s="61"/>
      <c r="CI72" s="61"/>
      <c r="CJ72" s="61"/>
      <c r="CK72" s="61"/>
      <c r="CL72" s="61"/>
      <c r="CM72" s="61"/>
      <c r="CN72" s="61"/>
      <c r="CO72" s="61"/>
    </row>
    <row r="73" spans="1:145" s="17" customFormat="1" ht="12.95" customHeight="1">
      <c r="A73" s="75"/>
      <c r="B73" s="45" t="s">
        <v>203</v>
      </c>
      <c r="C73" s="61"/>
      <c r="D73" s="61"/>
      <c r="E73" s="61"/>
      <c r="F73" s="61"/>
      <c r="G73" s="61"/>
      <c r="H73" s="61"/>
      <c r="I73" s="61"/>
      <c r="J73" s="61"/>
      <c r="K73" s="61"/>
      <c r="L73" s="61"/>
      <c r="M73" s="61"/>
      <c r="N73" s="61"/>
      <c r="O73" s="61"/>
      <c r="P73" s="61"/>
      <c r="Q73" s="61"/>
      <c r="R73" s="61"/>
      <c r="S73" s="61"/>
      <c r="T73" s="61"/>
      <c r="U73" s="61"/>
      <c r="V73" s="61"/>
      <c r="W73" s="61"/>
      <c r="X73" s="61"/>
      <c r="Y73" s="61"/>
      <c r="Z73" s="61"/>
      <c r="AA73" s="61"/>
      <c r="AB73" s="61"/>
      <c r="AC73" s="61"/>
      <c r="AD73" s="61"/>
      <c r="AE73" s="61"/>
      <c r="AF73" s="61"/>
      <c r="AG73" s="61"/>
      <c r="AH73" s="61"/>
      <c r="AI73" s="61"/>
      <c r="AJ73" s="61"/>
      <c r="AK73" s="61"/>
      <c r="AL73" s="61"/>
      <c r="AM73" s="61"/>
      <c r="AN73" s="61"/>
      <c r="AO73" s="61"/>
      <c r="AP73" s="61"/>
      <c r="AQ73" s="61">
        <v>36134</v>
      </c>
      <c r="AR73" s="61">
        <v>37971</v>
      </c>
      <c r="AS73" s="61">
        <v>39555</v>
      </c>
      <c r="AT73" s="61">
        <v>41891</v>
      </c>
      <c r="AU73" s="61">
        <v>47350</v>
      </c>
      <c r="AV73" s="61">
        <v>48204</v>
      </c>
      <c r="AW73" s="61">
        <v>50300</v>
      </c>
      <c r="AX73" s="61">
        <v>50551</v>
      </c>
      <c r="AY73" s="61">
        <v>50863</v>
      </c>
      <c r="AZ73" s="61">
        <v>50502</v>
      </c>
      <c r="BA73" s="61">
        <v>49925</v>
      </c>
      <c r="BB73" s="61">
        <v>50269</v>
      </c>
      <c r="BC73" s="61">
        <v>51429</v>
      </c>
      <c r="BD73" s="61">
        <v>52076</v>
      </c>
      <c r="BE73" s="61">
        <v>52863</v>
      </c>
      <c r="BF73" s="61">
        <v>55362</v>
      </c>
      <c r="BG73" s="61">
        <v>56399</v>
      </c>
      <c r="BH73" s="61">
        <v>59556</v>
      </c>
      <c r="BI73" s="61">
        <v>63641</v>
      </c>
      <c r="BJ73" s="61">
        <v>66671</v>
      </c>
      <c r="BK73" s="61">
        <v>70014</v>
      </c>
      <c r="BL73" s="61">
        <v>75024</v>
      </c>
      <c r="BM73" s="61">
        <v>81461</v>
      </c>
      <c r="BN73" s="61">
        <v>90961</v>
      </c>
      <c r="BO73" s="61">
        <v>98230</v>
      </c>
      <c r="BP73" s="61">
        <v>109980</v>
      </c>
      <c r="BQ73" s="61">
        <v>119832</v>
      </c>
      <c r="BR73" s="61"/>
      <c r="BS73" s="61"/>
      <c r="BT73" s="61"/>
      <c r="BU73" s="61"/>
      <c r="BV73" s="61"/>
      <c r="BW73" s="61"/>
      <c r="BX73" s="61"/>
      <c r="BY73" s="61"/>
      <c r="BZ73" s="61"/>
      <c r="CA73" s="61"/>
      <c r="CB73" s="61"/>
      <c r="CC73" s="61"/>
      <c r="CD73" s="61"/>
      <c r="CE73" s="61"/>
      <c r="CF73" s="61"/>
      <c r="CG73" s="61"/>
      <c r="CH73" s="61"/>
      <c r="CI73" s="61"/>
      <c r="CJ73" s="61"/>
      <c r="CK73" s="61"/>
      <c r="CL73" s="61"/>
      <c r="CM73" s="61"/>
      <c r="CN73" s="61"/>
      <c r="CO73" s="61"/>
    </row>
    <row r="74" spans="1:145" s="17" customFormat="1" ht="12.95" customHeight="1">
      <c r="A74" s="75"/>
      <c r="B74" s="45" t="s">
        <v>202</v>
      </c>
      <c r="C74" s="61"/>
      <c r="D74" s="61"/>
      <c r="E74" s="61"/>
      <c r="F74" s="61"/>
      <c r="G74" s="61"/>
      <c r="H74" s="61"/>
      <c r="I74" s="61"/>
      <c r="J74" s="61"/>
      <c r="K74" s="61"/>
      <c r="L74" s="61"/>
      <c r="M74" s="61"/>
      <c r="N74" s="61"/>
      <c r="O74" s="61"/>
      <c r="P74" s="61"/>
      <c r="Q74" s="61"/>
      <c r="R74" s="61"/>
      <c r="S74" s="61"/>
      <c r="T74" s="61"/>
      <c r="U74" s="61"/>
      <c r="V74" s="61"/>
      <c r="W74" s="61"/>
      <c r="X74" s="61"/>
      <c r="Y74" s="61"/>
      <c r="Z74" s="61"/>
      <c r="AA74" s="61"/>
      <c r="AB74" s="61"/>
      <c r="AC74" s="61"/>
      <c r="AD74" s="61"/>
      <c r="AE74" s="61"/>
      <c r="AF74" s="61"/>
      <c r="AG74" s="61"/>
      <c r="AH74" s="61"/>
      <c r="AI74" s="61"/>
      <c r="AJ74" s="61"/>
      <c r="AK74" s="61"/>
      <c r="AL74" s="61"/>
      <c r="AM74" s="61"/>
      <c r="AN74" s="61"/>
      <c r="AO74" s="61"/>
      <c r="AP74" s="61"/>
      <c r="AQ74" s="61">
        <v>4035</v>
      </c>
      <c r="AR74" s="61">
        <v>4197</v>
      </c>
      <c r="AS74" s="61">
        <v>4610</v>
      </c>
      <c r="AT74" s="61">
        <v>5145</v>
      </c>
      <c r="AU74" s="61">
        <v>5302</v>
      </c>
      <c r="AV74" s="61">
        <v>5900</v>
      </c>
      <c r="AW74" s="61">
        <v>5033</v>
      </c>
      <c r="AX74" s="61">
        <v>5835</v>
      </c>
      <c r="AY74" s="61">
        <v>5838</v>
      </c>
      <c r="AZ74" s="61">
        <v>5785</v>
      </c>
      <c r="BA74" s="61">
        <v>9415</v>
      </c>
      <c r="BB74" s="61">
        <v>20657</v>
      </c>
      <c r="BC74" s="61">
        <v>20357</v>
      </c>
      <c r="BD74" s="61">
        <v>20272</v>
      </c>
      <c r="BE74" s="61">
        <v>20526</v>
      </c>
      <c r="BF74" s="61">
        <v>43171</v>
      </c>
      <c r="BG74" s="61">
        <v>43344</v>
      </c>
      <c r="BH74" s="61">
        <v>44590</v>
      </c>
      <c r="BI74" s="61">
        <v>46924</v>
      </c>
      <c r="BJ74" s="61">
        <v>51416</v>
      </c>
      <c r="BK74" s="61">
        <v>50489</v>
      </c>
      <c r="BL74" s="61">
        <v>50749</v>
      </c>
      <c r="BM74" s="61">
        <v>55726</v>
      </c>
      <c r="BN74" s="61">
        <v>60406</v>
      </c>
      <c r="BO74" s="61">
        <v>59640</v>
      </c>
      <c r="BP74" s="61">
        <v>55501</v>
      </c>
      <c r="BQ74" s="61">
        <v>54488</v>
      </c>
      <c r="BR74" s="61"/>
      <c r="BS74" s="61"/>
      <c r="BT74" s="61"/>
      <c r="BU74" s="61"/>
      <c r="BV74" s="61"/>
      <c r="BW74" s="61"/>
      <c r="BX74" s="61"/>
      <c r="BY74" s="61"/>
      <c r="BZ74" s="61"/>
      <c r="CA74" s="61"/>
      <c r="CB74" s="61"/>
      <c r="CC74" s="61"/>
      <c r="CD74" s="61"/>
      <c r="CE74" s="61"/>
      <c r="CF74" s="61"/>
      <c r="CG74" s="61"/>
      <c r="CH74" s="61"/>
      <c r="CI74" s="61"/>
      <c r="CJ74" s="61"/>
      <c r="CK74" s="61"/>
      <c r="CL74" s="61"/>
      <c r="CM74" s="61"/>
      <c r="CN74" s="61"/>
      <c r="CO74" s="61"/>
    </row>
    <row r="75" spans="1:145" s="17" customFormat="1" ht="12.95" customHeight="1">
      <c r="A75" s="75"/>
      <c r="B75" s="45" t="s">
        <v>201</v>
      </c>
      <c r="C75" s="61"/>
      <c r="D75" s="61"/>
      <c r="E75" s="61"/>
      <c r="F75" s="61"/>
      <c r="G75" s="61"/>
      <c r="H75" s="61"/>
      <c r="I75" s="61"/>
      <c r="J75" s="61"/>
      <c r="K75" s="61"/>
      <c r="L75" s="61"/>
      <c r="M75" s="61"/>
      <c r="N75" s="61"/>
      <c r="O75" s="61"/>
      <c r="P75" s="61"/>
      <c r="Q75" s="61"/>
      <c r="R75" s="61"/>
      <c r="S75" s="61"/>
      <c r="T75" s="61"/>
      <c r="U75" s="61"/>
      <c r="V75" s="61"/>
      <c r="W75" s="61"/>
      <c r="X75" s="61"/>
      <c r="Y75" s="61"/>
      <c r="Z75" s="61"/>
      <c r="AA75" s="61"/>
      <c r="AB75" s="61"/>
      <c r="AC75" s="61"/>
      <c r="AD75" s="61"/>
      <c r="AE75" s="61"/>
      <c r="AF75" s="61"/>
      <c r="AG75" s="61"/>
      <c r="AH75" s="61"/>
      <c r="AI75" s="61"/>
      <c r="AJ75" s="61"/>
      <c r="AK75" s="61"/>
      <c r="AL75" s="61"/>
      <c r="AM75" s="61"/>
      <c r="AN75" s="61"/>
      <c r="AO75" s="61"/>
      <c r="AP75" s="61"/>
      <c r="AQ75" s="61">
        <f t="shared" ref="AQ75:AT75" si="208">SUM(AQ68:AQ74)</f>
        <v>93558</v>
      </c>
      <c r="AR75" s="61">
        <f t="shared" si="208"/>
        <v>103248</v>
      </c>
      <c r="AS75" s="61">
        <f t="shared" si="208"/>
        <v>101895</v>
      </c>
      <c r="AT75" s="61">
        <f t="shared" si="208"/>
        <v>110769</v>
      </c>
      <c r="AU75" s="61">
        <f t="shared" ref="AU75:AX75" si="209">SUM(AU68:AU74)</f>
        <v>110135</v>
      </c>
      <c r="AV75" s="61">
        <f t="shared" si="209"/>
        <v>117909</v>
      </c>
      <c r="AW75" s="61">
        <f t="shared" si="209"/>
        <v>124908</v>
      </c>
      <c r="AX75" s="61">
        <f t="shared" si="209"/>
        <v>125612</v>
      </c>
      <c r="AY75" s="61">
        <f t="shared" ref="AY75" si="210">SUM(AY68:AY74)</f>
        <v>126256</v>
      </c>
      <c r="AZ75" s="61">
        <f t="shared" ref="AZ75" si="211">SUM(AZ68:AZ74)</f>
        <v>136121</v>
      </c>
      <c r="BA75" s="61">
        <f t="shared" ref="BA75" si="212">SUM(BA68:BA74)</f>
        <v>139947</v>
      </c>
      <c r="BB75" s="61">
        <f t="shared" ref="BB75" si="213">SUM(BB68:BB74)</f>
        <v>144922</v>
      </c>
      <c r="BC75" s="61">
        <f t="shared" ref="BC75:BF75" si="214">SUM(BC68:BC74)</f>
        <v>141387</v>
      </c>
      <c r="BD75" s="61">
        <f t="shared" si="214"/>
        <v>158095</v>
      </c>
      <c r="BE75" s="61">
        <f t="shared" si="214"/>
        <v>174084</v>
      </c>
      <c r="BF75" s="61">
        <f t="shared" si="214"/>
        <v>194508</v>
      </c>
      <c r="BG75" s="61">
        <f>SUM(BG68:BG74)</f>
        <v>197136</v>
      </c>
      <c r="BH75" s="61">
        <f>SUM(BH68:BH74)</f>
        <v>218928</v>
      </c>
      <c r="BI75" s="61">
        <f>SUM(BI68:BI74)</f>
        <v>242836</v>
      </c>
      <c r="BJ75" s="61">
        <f t="shared" ref="BJ75:BQ75" si="215">SUM(BJ68:BJ74)</f>
        <v>241257</v>
      </c>
      <c r="BK75" s="61">
        <f t="shared" si="215"/>
        <v>250025</v>
      </c>
      <c r="BL75" s="61">
        <f t="shared" si="215"/>
        <v>280753</v>
      </c>
      <c r="BM75" s="61">
        <f t="shared" si="215"/>
        <v>300101</v>
      </c>
      <c r="BN75" s="61">
        <f t="shared" si="215"/>
        <v>314486</v>
      </c>
      <c r="BO75" s="61">
        <f t="shared" si="215"/>
        <v>298921</v>
      </c>
      <c r="BP75" s="61">
        <f t="shared" si="215"/>
        <v>369383</v>
      </c>
      <c r="BQ75" s="61">
        <f t="shared" si="215"/>
        <v>397441</v>
      </c>
      <c r="BR75" s="61"/>
      <c r="BS75" s="61"/>
      <c r="BT75" s="61"/>
      <c r="BU75" s="61"/>
      <c r="BV75" s="61"/>
      <c r="BW75" s="61"/>
      <c r="BX75" s="61"/>
      <c r="BY75" s="61"/>
      <c r="BZ75" s="61"/>
      <c r="CA75" s="61"/>
      <c r="CB75" s="61"/>
      <c r="CC75" s="61"/>
      <c r="CD75" s="61"/>
      <c r="CE75" s="61"/>
      <c r="CF75" s="61"/>
      <c r="CG75" s="61"/>
      <c r="CH75" s="61"/>
      <c r="CI75" s="61"/>
      <c r="CJ75" s="61"/>
      <c r="CK75" s="61"/>
      <c r="CL75" s="61"/>
      <c r="CM75" s="61"/>
      <c r="CN75" s="61"/>
      <c r="CO75" s="61"/>
    </row>
    <row r="76" spans="1:145" s="17" customFormat="1" ht="12.95" customHeight="1">
      <c r="A76" s="75"/>
      <c r="C76" s="61"/>
      <c r="D76" s="61"/>
      <c r="E76" s="61"/>
      <c r="F76" s="61"/>
      <c r="G76" s="61"/>
      <c r="H76" s="61"/>
      <c r="I76" s="61"/>
      <c r="J76" s="61"/>
      <c r="K76" s="61"/>
      <c r="L76" s="61"/>
      <c r="M76" s="61"/>
      <c r="N76" s="61"/>
      <c r="O76" s="61"/>
      <c r="P76" s="61"/>
      <c r="Q76" s="61"/>
      <c r="R76" s="61"/>
      <c r="S76" s="61"/>
      <c r="T76" s="61"/>
      <c r="U76" s="61"/>
      <c r="V76" s="61"/>
      <c r="W76" s="61"/>
      <c r="X76" s="61"/>
      <c r="Y76" s="61"/>
      <c r="Z76" s="61"/>
      <c r="AA76" s="61"/>
      <c r="AB76" s="61"/>
      <c r="AC76" s="61"/>
      <c r="AD76" s="61"/>
      <c r="AE76" s="61"/>
      <c r="AF76" s="61"/>
      <c r="AG76" s="61"/>
      <c r="AH76" s="61"/>
      <c r="AI76" s="61"/>
      <c r="AJ76" s="61"/>
      <c r="AK76" s="61"/>
      <c r="AL76" s="61"/>
      <c r="AM76" s="61"/>
      <c r="AN76" s="61"/>
      <c r="AO76" s="61"/>
      <c r="AP76" s="61"/>
      <c r="AQ76" s="61"/>
      <c r="AR76" s="61"/>
      <c r="AS76" s="61"/>
      <c r="AT76" s="61"/>
      <c r="AU76" s="61"/>
      <c r="AV76" s="61"/>
      <c r="AW76" s="61"/>
      <c r="AX76" s="61"/>
      <c r="AY76" s="61"/>
      <c r="AZ76" s="61"/>
      <c r="BA76" s="61"/>
      <c r="BB76" s="61"/>
      <c r="BC76" s="61"/>
      <c r="BD76" s="61"/>
      <c r="BE76" s="61"/>
      <c r="BF76" s="61"/>
      <c r="BG76" s="61"/>
      <c r="BH76" s="61"/>
      <c r="BI76" s="61"/>
      <c r="BJ76" s="61"/>
      <c r="BK76" s="61"/>
      <c r="BL76" s="61"/>
      <c r="BM76" s="61"/>
      <c r="BN76" s="61"/>
      <c r="BO76" s="61"/>
      <c r="BP76" s="61"/>
      <c r="BQ76" s="61"/>
      <c r="BR76" s="61"/>
      <c r="BS76" s="61"/>
      <c r="BT76" s="61"/>
      <c r="BU76" s="61"/>
      <c r="BV76" s="61"/>
      <c r="BW76" s="61"/>
      <c r="BX76" s="61"/>
      <c r="BY76" s="61"/>
      <c r="BZ76" s="61"/>
      <c r="CA76" s="61"/>
      <c r="CB76" s="61"/>
      <c r="CC76" s="61"/>
      <c r="CD76" s="61"/>
      <c r="CE76" s="61"/>
      <c r="CF76" s="61"/>
      <c r="CG76" s="61"/>
      <c r="CH76" s="61"/>
      <c r="CI76" s="61"/>
      <c r="CJ76" s="61"/>
      <c r="CK76" s="61"/>
      <c r="CL76" s="61"/>
      <c r="CM76" s="61"/>
      <c r="CN76" s="61"/>
      <c r="CO76" s="61"/>
    </row>
    <row r="77" spans="1:145" s="17" customFormat="1" ht="12.95" customHeight="1">
      <c r="A77" s="75"/>
      <c r="B77" s="45" t="s">
        <v>207</v>
      </c>
      <c r="C77" s="61"/>
      <c r="D77" s="61"/>
      <c r="E77" s="61"/>
      <c r="F77" s="61"/>
      <c r="G77" s="61"/>
      <c r="H77" s="61"/>
      <c r="I77" s="61"/>
      <c r="J77" s="61"/>
      <c r="K77" s="61"/>
      <c r="L77" s="61"/>
      <c r="M77" s="61"/>
      <c r="N77" s="61"/>
      <c r="O77" s="61"/>
      <c r="P77" s="61"/>
      <c r="Q77" s="61"/>
      <c r="R77" s="61"/>
      <c r="S77" s="61"/>
      <c r="T77" s="61"/>
      <c r="U77" s="61"/>
      <c r="V77" s="61"/>
      <c r="W77" s="61"/>
      <c r="X77" s="61"/>
      <c r="Y77" s="61"/>
      <c r="Z77" s="61"/>
      <c r="AA77" s="61"/>
      <c r="AB77" s="61"/>
      <c r="AC77" s="61"/>
      <c r="AD77" s="61"/>
      <c r="AE77" s="61"/>
      <c r="AF77" s="61"/>
      <c r="AG77" s="61"/>
      <c r="AH77" s="61"/>
      <c r="AI77" s="61"/>
      <c r="AJ77" s="61"/>
      <c r="AK77" s="61"/>
      <c r="AL77" s="61"/>
      <c r="AM77" s="61"/>
      <c r="AN77" s="61"/>
      <c r="AO77" s="61"/>
      <c r="AP77" s="61"/>
      <c r="AQ77" s="56">
        <f>278+228</f>
        <v>506</v>
      </c>
      <c r="AR77" s="61">
        <f>247+1523</f>
        <v>1770</v>
      </c>
      <c r="AS77" s="61">
        <f>1694+337</f>
        <v>2031</v>
      </c>
      <c r="AT77" s="61">
        <f>2024+515</f>
        <v>2539</v>
      </c>
      <c r="AU77" s="61">
        <f>2319+1114+3204</f>
        <v>6637</v>
      </c>
      <c r="AV77" s="61">
        <f>1151+1255+2977</f>
        <v>5383</v>
      </c>
      <c r="AW77" s="61">
        <f>1818+1416+2927</f>
        <v>6161</v>
      </c>
      <c r="AX77" s="61">
        <f>734+1474+3009</f>
        <v>5217</v>
      </c>
      <c r="AY77" s="61">
        <f>2866+1244+1014</f>
        <v>5124</v>
      </c>
      <c r="AZ77" s="61">
        <f>1408+2735+447</f>
        <v>4590</v>
      </c>
      <c r="BA77" s="61">
        <f>1468+2636+1002</f>
        <v>5106</v>
      </c>
      <c r="BB77" s="61">
        <f>1365+7459+2897</f>
        <v>11721</v>
      </c>
      <c r="BC77" s="61">
        <f>6823+2832+1235</f>
        <v>10890</v>
      </c>
      <c r="BD77" s="61">
        <f>12463+1301+794</f>
        <v>14558</v>
      </c>
      <c r="BE77" s="61">
        <f>1610+1350+12398</f>
        <v>15358</v>
      </c>
      <c r="BF77" s="61">
        <f>13684+12961+2184</f>
        <v>28829</v>
      </c>
      <c r="BG77" s="61">
        <f>1396+24084+2286</f>
        <v>27766</v>
      </c>
      <c r="BH77" s="61">
        <f>24178+4383+1256</f>
        <v>29817</v>
      </c>
      <c r="BI77" s="61">
        <f>24136+1833+6583</f>
        <v>32552</v>
      </c>
      <c r="BJ77" s="61">
        <f>24318+1466+2903</f>
        <v>28687</v>
      </c>
      <c r="BK77" s="61">
        <f>24267+1251+2282</f>
        <v>27800</v>
      </c>
      <c r="BL77" s="61">
        <f>6289+19415+1539</f>
        <v>27243</v>
      </c>
      <c r="BM77" s="61">
        <f>19924+6613+2522</f>
        <v>29059</v>
      </c>
      <c r="BN77" s="61">
        <f>1272+6478+20528</f>
        <v>28278</v>
      </c>
      <c r="BO77" s="61">
        <f>16764+10164+2110</f>
        <v>29038</v>
      </c>
      <c r="BP77" s="61">
        <f>51608+5452+2363</f>
        <v>59423</v>
      </c>
      <c r="BQ77" s="61">
        <f>5520+51452+4481</f>
        <v>61453</v>
      </c>
      <c r="BR77" s="61"/>
      <c r="BS77" s="61"/>
      <c r="BT77" s="61"/>
      <c r="BU77" s="61"/>
      <c r="BV77" s="61"/>
      <c r="BW77" s="61"/>
      <c r="BX77" s="61"/>
      <c r="BY77" s="61"/>
      <c r="BZ77" s="61"/>
      <c r="CA77" s="61"/>
      <c r="CB77" s="61"/>
      <c r="CC77" s="61"/>
      <c r="CD77" s="61"/>
      <c r="CE77" s="61"/>
      <c r="CF77" s="61"/>
      <c r="CG77" s="61"/>
      <c r="CH77" s="61"/>
      <c r="CI77" s="61"/>
      <c r="CJ77" s="61"/>
      <c r="CK77" s="61"/>
      <c r="CL77" s="61"/>
      <c r="CM77" s="61"/>
      <c r="CN77" s="61"/>
      <c r="CO77" s="61"/>
    </row>
    <row r="78" spans="1:145" s="17" customFormat="1" ht="12.95" customHeight="1">
      <c r="A78" s="75"/>
      <c r="B78" s="45" t="s">
        <v>208</v>
      </c>
      <c r="C78" s="61"/>
      <c r="D78" s="61"/>
      <c r="E78" s="61"/>
      <c r="F78" s="61"/>
      <c r="G78" s="61"/>
      <c r="H78" s="61"/>
      <c r="I78" s="61"/>
      <c r="J78" s="61"/>
      <c r="K78" s="61"/>
      <c r="L78" s="61"/>
      <c r="M78" s="61"/>
      <c r="N78" s="61"/>
      <c r="O78" s="61"/>
      <c r="P78" s="61"/>
      <c r="Q78" s="61"/>
      <c r="R78" s="61"/>
      <c r="S78" s="61"/>
      <c r="T78" s="61"/>
      <c r="U78" s="61"/>
      <c r="V78" s="61"/>
      <c r="W78" s="61"/>
      <c r="X78" s="61"/>
      <c r="Y78" s="61"/>
      <c r="Z78" s="61"/>
      <c r="AA78" s="61"/>
      <c r="AB78" s="61"/>
      <c r="AC78" s="61"/>
      <c r="AD78" s="61"/>
      <c r="AE78" s="61"/>
      <c r="AF78" s="61"/>
      <c r="AG78" s="61"/>
      <c r="AH78" s="61"/>
      <c r="AI78" s="61"/>
      <c r="AJ78" s="61"/>
      <c r="AK78" s="61"/>
      <c r="AL78" s="61"/>
      <c r="AM78" s="61"/>
      <c r="AN78" s="61"/>
      <c r="AO78" s="61"/>
      <c r="AP78" s="61"/>
      <c r="AQ78" s="61">
        <f>20011+3165</f>
        <v>23176</v>
      </c>
      <c r="AR78" s="61">
        <f>24745+3265</f>
        <v>28010</v>
      </c>
      <c r="AS78" s="61">
        <f>24870+3340</f>
        <v>28210</v>
      </c>
      <c r="AT78" s="61">
        <f>26161+3392</f>
        <v>29553</v>
      </c>
      <c r="AU78" s="61">
        <f>28504+3487</f>
        <v>31991</v>
      </c>
      <c r="AV78" s="61">
        <f>31097+3393</f>
        <v>34490</v>
      </c>
      <c r="AW78" s="61">
        <f>32941+4240</f>
        <v>37181</v>
      </c>
      <c r="AX78" s="61">
        <f>31120+4613</f>
        <v>35733</v>
      </c>
      <c r="AY78" s="61">
        <f>36905+4607</f>
        <v>41512</v>
      </c>
      <c r="AZ78" s="61">
        <f>39031+4559</f>
        <v>43590</v>
      </c>
      <c r="BA78" s="61">
        <f>42038+4475</f>
        <v>46513</v>
      </c>
      <c r="BB78" s="61">
        <f>34814+4526</f>
        <v>39340</v>
      </c>
      <c r="BC78" s="61">
        <f>38513+4508</f>
        <v>43021</v>
      </c>
      <c r="BD78" s="61">
        <f>46388+4241</f>
        <v>50629</v>
      </c>
      <c r="BE78" s="61">
        <f>52868+4297</f>
        <v>57165</v>
      </c>
      <c r="BF78" s="61">
        <f>51520+4374</f>
        <v>55894</v>
      </c>
      <c r="BG78" s="61">
        <f>58804+4388</f>
        <v>63192</v>
      </c>
      <c r="BH78" s="61">
        <f>65788+4642</f>
        <v>70430</v>
      </c>
      <c r="BI78" s="61">
        <f>84745+5300</f>
        <v>90045</v>
      </c>
      <c r="BJ78" s="61">
        <f>70287+4590</f>
        <v>74877</v>
      </c>
      <c r="BK78" s="61">
        <f>87956+5044</f>
        <v>93000</v>
      </c>
      <c r="BL78" s="61">
        <f>98858+5728</f>
        <v>104586</v>
      </c>
      <c r="BM78" s="61">
        <f>104843+5937</f>
        <v>110780</v>
      </c>
      <c r="BN78" s="61">
        <f>100478+6649</f>
        <v>107127</v>
      </c>
      <c r="BO78" s="61">
        <f>7177+102937</f>
        <v>110114</v>
      </c>
      <c r="BP78" s="61">
        <f>114492+7528</f>
        <v>122020</v>
      </c>
      <c r="BQ78" s="61">
        <f>128990+7645</f>
        <v>136635</v>
      </c>
      <c r="BR78" s="61"/>
      <c r="BS78" s="61"/>
      <c r="BT78" s="61"/>
      <c r="BU78" s="61"/>
      <c r="BV78" s="61"/>
      <c r="BW78" s="61"/>
      <c r="BX78" s="61"/>
      <c r="BY78" s="61"/>
      <c r="BZ78" s="61"/>
      <c r="CA78" s="61"/>
      <c r="CB78" s="61"/>
      <c r="CC78" s="61"/>
      <c r="CD78" s="61"/>
      <c r="CE78" s="61"/>
      <c r="CF78" s="61"/>
      <c r="CG78" s="61"/>
      <c r="CH78" s="61"/>
      <c r="CI78" s="61"/>
      <c r="CJ78" s="61"/>
      <c r="CK78" s="61"/>
      <c r="CL78" s="61"/>
      <c r="CM78" s="61"/>
      <c r="CN78" s="61"/>
      <c r="CO78" s="61"/>
    </row>
    <row r="79" spans="1:145" s="17" customFormat="1" ht="12.95" customHeight="1">
      <c r="A79" s="75"/>
      <c r="B79" s="45" t="s">
        <v>132</v>
      </c>
      <c r="C79" s="61"/>
      <c r="D79" s="61"/>
      <c r="E79" s="61"/>
      <c r="F79" s="61"/>
      <c r="G79" s="61"/>
      <c r="H79" s="61"/>
      <c r="I79" s="61"/>
      <c r="J79" s="61"/>
      <c r="K79" s="61"/>
      <c r="L79" s="61"/>
      <c r="M79" s="61"/>
      <c r="N79" s="61"/>
      <c r="O79" s="61"/>
      <c r="P79" s="61"/>
      <c r="Q79" s="61"/>
      <c r="R79" s="61"/>
      <c r="S79" s="61"/>
      <c r="T79" s="61"/>
      <c r="U79" s="61"/>
      <c r="V79" s="61"/>
      <c r="W79" s="61"/>
      <c r="X79" s="61"/>
      <c r="Y79" s="61"/>
      <c r="Z79" s="61"/>
      <c r="AA79" s="61"/>
      <c r="AB79" s="61"/>
      <c r="AC79" s="61"/>
      <c r="AD79" s="61"/>
      <c r="AE79" s="61"/>
      <c r="AF79" s="61"/>
      <c r="AG79" s="61"/>
      <c r="AH79" s="61"/>
      <c r="AI79" s="61"/>
      <c r="AJ79" s="61"/>
      <c r="AK79" s="61"/>
      <c r="AL79" s="61"/>
      <c r="AM79" s="61"/>
      <c r="AN79" s="61"/>
      <c r="AO79" s="61"/>
      <c r="AP79" s="61"/>
      <c r="AQ79" s="61">
        <v>15441</v>
      </c>
      <c r="AR79" s="61">
        <v>13451</v>
      </c>
      <c r="AS79" s="61">
        <v>13252</v>
      </c>
      <c r="AT79" s="61">
        <v>14098</v>
      </c>
      <c r="AU79" s="61">
        <v>14674</v>
      </c>
      <c r="AV79" s="61">
        <v>13595</v>
      </c>
      <c r="AW79" s="61">
        <v>14414</v>
      </c>
      <c r="AX79" s="61">
        <v>15085</v>
      </c>
      <c r="AY79" s="61">
        <v>15440</v>
      </c>
      <c r="AZ79" s="61">
        <v>13544</v>
      </c>
      <c r="BA79" s="61">
        <v>15298</v>
      </c>
      <c r="BB79" s="61">
        <v>17005</v>
      </c>
      <c r="BC79" s="61">
        <v>16108</v>
      </c>
      <c r="BD79" s="61">
        <v>13797</v>
      </c>
      <c r="BE79" s="61">
        <v>17629</v>
      </c>
      <c r="BF79" s="61">
        <f>19600+360</f>
        <v>19960</v>
      </c>
      <c r="BG79" s="61">
        <f>257+21831</f>
        <v>22088</v>
      </c>
      <c r="BH79" s="61">
        <f>19631+167</f>
        <v>19798</v>
      </c>
      <c r="BI79" s="61">
        <f>21389+240</f>
        <v>21629</v>
      </c>
      <c r="BJ79" s="61">
        <f>23606+100</f>
        <v>23706</v>
      </c>
      <c r="BK79" s="56">
        <f>24360+322</f>
        <v>24682</v>
      </c>
      <c r="BL79" s="61">
        <f>22527+193</f>
        <v>22720</v>
      </c>
      <c r="BM79" s="61">
        <f>26171+199</f>
        <v>26370</v>
      </c>
      <c r="BN79" s="61">
        <f>28705+189</f>
        <v>28894</v>
      </c>
      <c r="BO79" s="61">
        <f>31425+15</f>
        <v>31440</v>
      </c>
      <c r="BP79" s="61">
        <f>29937+16</f>
        <v>29953</v>
      </c>
      <c r="BQ79" s="61">
        <f>30637+16</f>
        <v>30653</v>
      </c>
      <c r="BR79" s="61"/>
      <c r="BS79" s="61"/>
      <c r="BT79" s="61"/>
      <c r="BU79" s="61"/>
      <c r="BV79" s="61"/>
      <c r="BW79" s="61"/>
      <c r="BX79" s="61"/>
      <c r="BY79" s="61"/>
      <c r="BZ79" s="61"/>
      <c r="CA79" s="61"/>
      <c r="CB79" s="61"/>
      <c r="CC79" s="61"/>
      <c r="CD79" s="61"/>
      <c r="CE79" s="61"/>
      <c r="CF79" s="61"/>
      <c r="CG79" s="61"/>
      <c r="CH79" s="61"/>
      <c r="CI79" s="61"/>
      <c r="CJ79" s="61"/>
      <c r="CK79" s="61"/>
      <c r="CL79" s="61"/>
      <c r="CM79" s="61"/>
      <c r="CN79" s="61"/>
      <c r="CO79" s="61"/>
    </row>
    <row r="80" spans="1:145" s="17" customFormat="1" ht="12.95" customHeight="1">
      <c r="A80" s="75"/>
      <c r="B80" s="45" t="s">
        <v>206</v>
      </c>
      <c r="C80" s="61"/>
      <c r="D80" s="61"/>
      <c r="E80" s="61"/>
      <c r="F80" s="61"/>
      <c r="G80" s="61"/>
      <c r="H80" s="61"/>
      <c r="I80" s="61"/>
      <c r="J80" s="61"/>
      <c r="K80" s="61"/>
      <c r="L80" s="61"/>
      <c r="M80" s="61"/>
      <c r="N80" s="61"/>
      <c r="O80" s="61"/>
      <c r="P80" s="61"/>
      <c r="Q80" s="61"/>
      <c r="R80" s="61"/>
      <c r="S80" s="61"/>
      <c r="T80" s="61"/>
      <c r="U80" s="61"/>
      <c r="V80" s="61"/>
      <c r="W80" s="61"/>
      <c r="X80" s="61"/>
      <c r="Y80" s="61"/>
      <c r="Z80" s="61"/>
      <c r="AA80" s="61"/>
      <c r="AB80" s="61"/>
      <c r="AC80" s="61"/>
      <c r="AD80" s="61"/>
      <c r="AE80" s="61"/>
      <c r="AF80" s="61"/>
      <c r="AG80" s="61"/>
      <c r="AH80" s="61"/>
      <c r="AI80" s="61"/>
      <c r="AJ80" s="61"/>
      <c r="AK80" s="61"/>
      <c r="AL80" s="61"/>
      <c r="AM80" s="61"/>
      <c r="AN80" s="61"/>
      <c r="AO80" s="61"/>
      <c r="AP80" s="61"/>
      <c r="AQ80" s="61">
        <f>4093+791</f>
        <v>4884</v>
      </c>
      <c r="AR80" s="61">
        <f>3383+476</f>
        <v>3859</v>
      </c>
      <c r="AS80" s="61">
        <f>4426+362</f>
        <v>4788</v>
      </c>
      <c r="AT80" s="61">
        <f>4610+118</f>
        <v>4728</v>
      </c>
      <c r="AU80" s="61">
        <f>3927+12</f>
        <v>3939</v>
      </c>
      <c r="AV80" s="61">
        <f>4228+542</f>
        <v>4770</v>
      </c>
      <c r="AW80" s="61">
        <f>6604+190</f>
        <v>6794</v>
      </c>
      <c r="AX80" s="61">
        <f>4212+80</f>
        <v>4292</v>
      </c>
      <c r="AY80" s="61">
        <f>3240+55</f>
        <v>3295</v>
      </c>
      <c r="AZ80" s="61">
        <f>3893+238</f>
        <v>4131</v>
      </c>
      <c r="BA80" s="61">
        <f>5019+991</f>
        <v>6010</v>
      </c>
      <c r="BB80" s="61">
        <f>3913+2502</f>
        <v>6415</v>
      </c>
      <c r="BC80" s="61">
        <f>5305+4606</f>
        <v>9911</v>
      </c>
      <c r="BD80" s="61">
        <f>2902+1818</f>
        <v>4720</v>
      </c>
      <c r="BE80" s="61">
        <f>5994+1643</f>
        <v>7637</v>
      </c>
      <c r="BF80" s="61">
        <f>3658+5271</f>
        <v>8929</v>
      </c>
      <c r="BG80" s="61">
        <f>5305+4606</f>
        <v>9911</v>
      </c>
      <c r="BH80" s="61">
        <f>3943+5217</f>
        <v>9160</v>
      </c>
      <c r="BI80" s="61">
        <v>7397</v>
      </c>
      <c r="BJ80" s="61">
        <f>7091+7061</f>
        <v>14152</v>
      </c>
      <c r="BK80" s="61">
        <f>6062+7875</f>
        <v>13937</v>
      </c>
      <c r="BL80" s="61">
        <f>9617+7627</f>
        <v>17244</v>
      </c>
      <c r="BM80" s="61">
        <f>12297+7885</f>
        <v>20182</v>
      </c>
      <c r="BN80" s="61">
        <f>7116+10162</f>
        <v>17278</v>
      </c>
      <c r="BO80" s="61">
        <f>5964+9664</f>
        <v>15628</v>
      </c>
      <c r="BP80" s="61">
        <f>5906+9037</f>
        <v>14943</v>
      </c>
      <c r="BQ80" s="61">
        <f>14651+8655</f>
        <v>23306</v>
      </c>
      <c r="BR80" s="61"/>
      <c r="BS80" s="61"/>
      <c r="BT80" s="61"/>
      <c r="BU80" s="61"/>
      <c r="BV80" s="61"/>
      <c r="BW80" s="61"/>
      <c r="BX80" s="61"/>
      <c r="BY80" s="61"/>
      <c r="BZ80" s="61"/>
      <c r="CA80" s="61"/>
      <c r="CB80" s="61"/>
      <c r="CC80" s="61"/>
      <c r="CD80" s="61"/>
      <c r="CE80" s="61"/>
      <c r="CF80" s="61"/>
      <c r="CG80" s="61"/>
      <c r="CH80" s="61"/>
      <c r="CI80" s="61"/>
      <c r="CJ80" s="61"/>
      <c r="CK80" s="61"/>
      <c r="CL80" s="61"/>
      <c r="CM80" s="61"/>
      <c r="CN80" s="61"/>
      <c r="CO80" s="61"/>
    </row>
    <row r="81" spans="1:93" s="17" customFormat="1" ht="12.95" customHeight="1">
      <c r="A81" s="75"/>
      <c r="B81" s="45" t="s">
        <v>209</v>
      </c>
      <c r="C81" s="61"/>
      <c r="D81" s="61"/>
      <c r="E81" s="61"/>
      <c r="F81" s="61"/>
      <c r="G81" s="61"/>
      <c r="H81" s="61"/>
      <c r="I81" s="61"/>
      <c r="J81" s="61"/>
      <c r="K81" s="61"/>
      <c r="L81" s="61"/>
      <c r="M81" s="61"/>
      <c r="N81" s="61"/>
      <c r="O81" s="61"/>
      <c r="P81" s="61"/>
      <c r="Q81" s="61"/>
      <c r="R81" s="61"/>
      <c r="S81" s="61"/>
      <c r="T81" s="61"/>
      <c r="U81" s="61"/>
      <c r="V81" s="61"/>
      <c r="W81" s="61"/>
      <c r="X81" s="61"/>
      <c r="Y81" s="61"/>
      <c r="Z81" s="61"/>
      <c r="AA81" s="61"/>
      <c r="AB81" s="61"/>
      <c r="AC81" s="61"/>
      <c r="AD81" s="61"/>
      <c r="AE81" s="61"/>
      <c r="AF81" s="61"/>
      <c r="AG81" s="61"/>
      <c r="AH81" s="61"/>
      <c r="AI81" s="61"/>
      <c r="AJ81" s="61"/>
      <c r="AK81" s="61"/>
      <c r="AL81" s="61"/>
      <c r="AM81" s="61"/>
      <c r="AN81" s="61"/>
      <c r="AO81" s="61"/>
      <c r="AP81" s="61"/>
      <c r="AQ81" s="61">
        <v>4117</v>
      </c>
      <c r="AR81" s="61">
        <v>5830</v>
      </c>
      <c r="AS81" s="61">
        <v>4846</v>
      </c>
      <c r="AT81" s="61">
        <v>6756</v>
      </c>
      <c r="AU81" s="61">
        <v>4222</v>
      </c>
      <c r="AV81" s="61">
        <v>5269</v>
      </c>
      <c r="AW81" s="61">
        <v>5894</v>
      </c>
      <c r="AX81" s="61">
        <v>6358</v>
      </c>
      <c r="AY81" s="61">
        <v>5344</v>
      </c>
      <c r="AZ81" s="61">
        <v>8961</v>
      </c>
      <c r="BA81" s="61">
        <v>6123</v>
      </c>
      <c r="BB81" s="61">
        <v>5717</v>
      </c>
      <c r="BC81" s="61">
        <v>6679</v>
      </c>
      <c r="BD81" s="61">
        <v>7616</v>
      </c>
      <c r="BE81" s="61">
        <v>8877</v>
      </c>
      <c r="BF81" s="61">
        <v>8870</v>
      </c>
      <c r="BG81" s="61">
        <v>6679</v>
      </c>
      <c r="BH81" s="61">
        <v>14654</v>
      </c>
      <c r="BI81" s="61">
        <v>8310</v>
      </c>
      <c r="BJ81" s="61">
        <v>15587</v>
      </c>
      <c r="BK81" s="61">
        <v>10050</v>
      </c>
      <c r="BL81" s="61">
        <v>17788</v>
      </c>
      <c r="BM81" s="61">
        <v>20106</v>
      </c>
      <c r="BN81" s="61">
        <v>25606</v>
      </c>
      <c r="BO81" s="61">
        <v>13006</v>
      </c>
      <c r="BP81" s="61">
        <v>29759</v>
      </c>
      <c r="BQ81" s="61">
        <v>24079</v>
      </c>
      <c r="BR81" s="61"/>
      <c r="BS81" s="61"/>
      <c r="BT81" s="61"/>
      <c r="BU81" s="61"/>
      <c r="BV81" s="61"/>
      <c r="BW81" s="61"/>
      <c r="BX81" s="61"/>
      <c r="BY81" s="61"/>
      <c r="BZ81" s="61"/>
      <c r="CA81" s="61"/>
      <c r="CB81" s="61"/>
      <c r="CC81" s="61"/>
      <c r="CD81" s="61"/>
      <c r="CE81" s="61"/>
      <c r="CF81" s="61"/>
      <c r="CG81" s="61"/>
      <c r="CH81" s="61"/>
      <c r="CI81" s="61"/>
      <c r="CJ81" s="61"/>
      <c r="CK81" s="61"/>
      <c r="CL81" s="61"/>
      <c r="CM81" s="61"/>
      <c r="CN81" s="61"/>
      <c r="CO81" s="61"/>
    </row>
    <row r="82" spans="1:93" s="17" customFormat="1" ht="12.95" customHeight="1">
      <c r="A82" s="75"/>
      <c r="B82" s="45" t="s">
        <v>210</v>
      </c>
      <c r="C82" s="61"/>
      <c r="D82" s="61"/>
      <c r="E82" s="61"/>
      <c r="F82" s="61"/>
      <c r="G82" s="61"/>
      <c r="H82" s="61"/>
      <c r="I82" s="61"/>
      <c r="J82" s="61"/>
      <c r="K82" s="61"/>
      <c r="L82" s="61"/>
      <c r="M82" s="61"/>
      <c r="N82" s="61"/>
      <c r="O82" s="61"/>
      <c r="P82" s="61"/>
      <c r="Q82" s="61"/>
      <c r="R82" s="61"/>
      <c r="S82" s="61"/>
      <c r="T82" s="61"/>
      <c r="U82" s="61"/>
      <c r="V82" s="61"/>
      <c r="W82" s="61"/>
      <c r="X82" s="61"/>
      <c r="Y82" s="61"/>
      <c r="Z82" s="61"/>
      <c r="AA82" s="61"/>
      <c r="AB82" s="61"/>
      <c r="AC82" s="61"/>
      <c r="AD82" s="61"/>
      <c r="AE82" s="61"/>
      <c r="AF82" s="61"/>
      <c r="AG82" s="61"/>
      <c r="AH82" s="61"/>
      <c r="AI82" s="61"/>
      <c r="AJ82" s="61"/>
      <c r="AK82" s="61"/>
      <c r="AL82" s="61"/>
      <c r="AM82" s="61"/>
      <c r="AN82" s="61"/>
      <c r="AO82" s="61"/>
      <c r="AP82" s="61"/>
      <c r="AQ82" s="61">
        <v>1196</v>
      </c>
      <c r="AR82" s="61">
        <v>1247</v>
      </c>
      <c r="AS82" s="61">
        <v>1256</v>
      </c>
      <c r="AT82" s="61">
        <v>1256</v>
      </c>
      <c r="AU82" s="61">
        <v>1353</v>
      </c>
      <c r="AV82" s="61">
        <v>1317</v>
      </c>
      <c r="AW82" s="61">
        <v>1511</v>
      </c>
      <c r="AX82" s="61">
        <v>1334</v>
      </c>
      <c r="AY82" s="61">
        <v>1142</v>
      </c>
      <c r="AZ82" s="61">
        <v>1251</v>
      </c>
      <c r="BA82" s="61">
        <v>1324</v>
      </c>
      <c r="BB82" s="61">
        <v>1399</v>
      </c>
      <c r="BC82" s="61">
        <v>950</v>
      </c>
      <c r="BD82" s="61">
        <v>1216</v>
      </c>
      <c r="BE82" s="61">
        <v>1306</v>
      </c>
      <c r="BF82" s="61">
        <v>1280</v>
      </c>
      <c r="BG82" s="61">
        <v>950</v>
      </c>
      <c r="BH82" s="61">
        <v>617</v>
      </c>
      <c r="BI82" s="61">
        <f>5640+583</f>
        <v>6223</v>
      </c>
      <c r="BJ82" s="61">
        <v>762</v>
      </c>
      <c r="BK82" s="61">
        <v>682</v>
      </c>
      <c r="BL82" s="61">
        <v>699</v>
      </c>
      <c r="BM82" s="61">
        <v>613</v>
      </c>
      <c r="BN82" s="61">
        <v>742</v>
      </c>
      <c r="BO82" s="61">
        <v>784</v>
      </c>
      <c r="BP82" s="61">
        <v>763</v>
      </c>
      <c r="BQ82" s="61">
        <v>793</v>
      </c>
      <c r="BR82" s="61"/>
      <c r="BS82" s="61"/>
      <c r="BT82" s="61"/>
      <c r="BU82" s="61"/>
      <c r="BV82" s="61"/>
      <c r="BW82" s="61"/>
      <c r="BX82" s="61"/>
      <c r="BY82" s="61"/>
      <c r="BZ82" s="61"/>
      <c r="CA82" s="61"/>
      <c r="CB82" s="61"/>
      <c r="CC82" s="61"/>
      <c r="CD82" s="61"/>
      <c r="CE82" s="61"/>
      <c r="CF82" s="61"/>
      <c r="CG82" s="61"/>
      <c r="CH82" s="61"/>
      <c r="CI82" s="61"/>
      <c r="CJ82" s="61"/>
      <c r="CK82" s="61"/>
      <c r="CL82" s="61"/>
      <c r="CM82" s="61"/>
      <c r="CN82" s="61"/>
      <c r="CO82" s="61"/>
    </row>
    <row r="83" spans="1:93" s="17" customFormat="1" ht="12.95" customHeight="1">
      <c r="A83" s="75"/>
      <c r="B83" s="45" t="s">
        <v>211</v>
      </c>
      <c r="C83" s="61"/>
      <c r="D83" s="61"/>
      <c r="E83" s="61"/>
      <c r="F83" s="61"/>
      <c r="G83" s="61"/>
      <c r="H83" s="61"/>
      <c r="I83" s="61"/>
      <c r="J83" s="61"/>
      <c r="K83" s="61"/>
      <c r="L83" s="61"/>
      <c r="M83" s="61"/>
      <c r="N83" s="61"/>
      <c r="O83" s="61"/>
      <c r="P83" s="61"/>
      <c r="Q83" s="61"/>
      <c r="R83" s="61"/>
      <c r="S83" s="61"/>
      <c r="T83" s="61"/>
      <c r="U83" s="61"/>
      <c r="V83" s="61"/>
      <c r="W83" s="61"/>
      <c r="X83" s="61"/>
      <c r="Y83" s="61"/>
      <c r="Z83" s="61"/>
      <c r="AA83" s="61"/>
      <c r="AB83" s="61"/>
      <c r="AC83" s="61"/>
      <c r="AD83" s="61"/>
      <c r="AE83" s="61"/>
      <c r="AF83" s="61"/>
      <c r="AG83" s="61"/>
      <c r="AH83" s="61"/>
      <c r="AI83" s="61"/>
      <c r="AJ83" s="61"/>
      <c r="AK83" s="61"/>
      <c r="AL83" s="61"/>
      <c r="AM83" s="61"/>
      <c r="AN83" s="61"/>
      <c r="AO83" s="61"/>
      <c r="AP83" s="61"/>
      <c r="AQ83" s="61">
        <v>44238</v>
      </c>
      <c r="AR83" s="61">
        <v>49081</v>
      </c>
      <c r="AS83" s="61">
        <v>47512</v>
      </c>
      <c r="AT83" s="61">
        <v>51839</v>
      </c>
      <c r="AU83" s="61">
        <v>47319</v>
      </c>
      <c r="AV83" s="61">
        <v>53085</v>
      </c>
      <c r="AW83" s="61">
        <v>52953</v>
      </c>
      <c r="AX83" s="61">
        <v>57593</v>
      </c>
      <c r="AY83" s="61">
        <v>54399</v>
      </c>
      <c r="AZ83" s="61">
        <v>60054</v>
      </c>
      <c r="BA83" s="61">
        <v>59573</v>
      </c>
      <c r="BB83" s="61">
        <v>63325</v>
      </c>
      <c r="BC83" s="61">
        <v>66550</v>
      </c>
      <c r="BD83" s="61">
        <v>65559</v>
      </c>
      <c r="BE83" s="61">
        <v>66112</v>
      </c>
      <c r="BF83" s="61">
        <v>70746</v>
      </c>
      <c r="BG83" s="61">
        <v>66550</v>
      </c>
      <c r="BH83" s="61">
        <v>74452</v>
      </c>
      <c r="BI83" s="61">
        <v>76680</v>
      </c>
      <c r="BJ83" s="61">
        <v>83486</v>
      </c>
      <c r="BK83" s="61">
        <v>79874</v>
      </c>
      <c r="BL83" s="61">
        <v>90473</v>
      </c>
      <c r="BM83" s="61">
        <v>92991</v>
      </c>
      <c r="BN83" s="61">
        <v>106561</v>
      </c>
      <c r="BO83" s="61">
        <v>98911</v>
      </c>
      <c r="BP83" s="61">
        <v>112522</v>
      </c>
      <c r="BQ83" s="61">
        <v>120522</v>
      </c>
      <c r="BR83" s="61"/>
      <c r="BS83" s="61"/>
      <c r="BT83" s="61"/>
      <c r="BU83" s="61"/>
      <c r="BV83" s="61"/>
      <c r="BW83" s="61"/>
      <c r="BX83" s="61"/>
      <c r="BY83" s="61"/>
      <c r="BZ83" s="61"/>
      <c r="CA83" s="61"/>
      <c r="CB83" s="61"/>
      <c r="CC83" s="61"/>
      <c r="CD83" s="61"/>
      <c r="CE83" s="61"/>
      <c r="CF83" s="61"/>
      <c r="CG83" s="61"/>
      <c r="CH83" s="61"/>
      <c r="CI83" s="61"/>
      <c r="CJ83" s="61"/>
      <c r="CK83" s="61"/>
      <c r="CL83" s="61"/>
      <c r="CM83" s="61"/>
      <c r="CN83" s="61"/>
      <c r="CO83" s="61"/>
    </row>
    <row r="84" spans="1:93" s="17" customFormat="1" ht="12.95" customHeight="1">
      <c r="A84" s="75"/>
      <c r="B84" s="45" t="s">
        <v>212</v>
      </c>
      <c r="C84" s="61"/>
      <c r="D84" s="61"/>
      <c r="E84" s="61"/>
      <c r="F84" s="61"/>
      <c r="G84" s="61"/>
      <c r="H84" s="61"/>
      <c r="I84" s="61"/>
      <c r="J84" s="61"/>
      <c r="K84" s="61"/>
      <c r="L84" s="61"/>
      <c r="M84" s="61"/>
      <c r="N84" s="61"/>
      <c r="O84" s="61"/>
      <c r="P84" s="61"/>
      <c r="Q84" s="61"/>
      <c r="R84" s="61"/>
      <c r="S84" s="61"/>
      <c r="T84" s="61"/>
      <c r="U84" s="61"/>
      <c r="V84" s="61"/>
      <c r="W84" s="61"/>
      <c r="X84" s="61"/>
      <c r="Y84" s="61"/>
      <c r="Z84" s="61"/>
      <c r="AA84" s="61"/>
      <c r="AB84" s="61"/>
      <c r="AC84" s="61"/>
      <c r="AD84" s="61"/>
      <c r="AE84" s="61"/>
      <c r="AF84" s="61"/>
      <c r="AG84" s="61"/>
      <c r="AH84" s="61"/>
      <c r="AI84" s="61"/>
      <c r="AJ84" s="61"/>
      <c r="AK84" s="61"/>
      <c r="AL84" s="61"/>
      <c r="AM84" s="61"/>
      <c r="AN84" s="61"/>
      <c r="AO84" s="61"/>
      <c r="AP84" s="61"/>
      <c r="AQ84" s="61">
        <f t="shared" ref="AQ84:AT84" si="216">SUM(AQ77:AQ83)</f>
        <v>93558</v>
      </c>
      <c r="AR84" s="61">
        <f t="shared" si="216"/>
        <v>103248</v>
      </c>
      <c r="AS84" s="61">
        <f t="shared" si="216"/>
        <v>101895</v>
      </c>
      <c r="AT84" s="61">
        <f t="shared" si="216"/>
        <v>110769</v>
      </c>
      <c r="AU84" s="61">
        <f t="shared" ref="AU84:AX84" si="217">SUM(AU77:AU83)</f>
        <v>110135</v>
      </c>
      <c r="AV84" s="61">
        <f t="shared" si="217"/>
        <v>117909</v>
      </c>
      <c r="AW84" s="61">
        <f t="shared" si="217"/>
        <v>124908</v>
      </c>
      <c r="AX84" s="61">
        <f t="shared" si="217"/>
        <v>125612</v>
      </c>
      <c r="AY84" s="61">
        <f t="shared" ref="AY84:BB84" si="218">SUM(AY77:AY83)</f>
        <v>126256</v>
      </c>
      <c r="AZ84" s="61">
        <f t="shared" si="218"/>
        <v>136121</v>
      </c>
      <c r="BA84" s="61">
        <f t="shared" si="218"/>
        <v>139947</v>
      </c>
      <c r="BB84" s="61">
        <f t="shared" si="218"/>
        <v>144922</v>
      </c>
      <c r="BC84" s="61">
        <f t="shared" ref="BC84:BQ84" si="219">SUM(BC77:BC83)</f>
        <v>154109</v>
      </c>
      <c r="BD84" s="61">
        <f t="shared" si="219"/>
        <v>158095</v>
      </c>
      <c r="BE84" s="61">
        <f t="shared" si="219"/>
        <v>174084</v>
      </c>
      <c r="BF84" s="61">
        <f t="shared" si="219"/>
        <v>194508</v>
      </c>
      <c r="BG84" s="61">
        <f t="shared" si="219"/>
        <v>197136</v>
      </c>
      <c r="BH84" s="61">
        <f t="shared" si="219"/>
        <v>218928</v>
      </c>
      <c r="BI84" s="61">
        <f t="shared" si="219"/>
        <v>242836</v>
      </c>
      <c r="BJ84" s="61">
        <f t="shared" si="219"/>
        <v>241257</v>
      </c>
      <c r="BK84" s="61">
        <f t="shared" si="219"/>
        <v>250025</v>
      </c>
      <c r="BL84" s="61">
        <f t="shared" si="219"/>
        <v>280753</v>
      </c>
      <c r="BM84" s="61">
        <f t="shared" si="219"/>
        <v>300101</v>
      </c>
      <c r="BN84" s="61">
        <f t="shared" si="219"/>
        <v>314486</v>
      </c>
      <c r="BO84" s="61">
        <f t="shared" si="219"/>
        <v>298921</v>
      </c>
      <c r="BP84" s="61">
        <f t="shared" si="219"/>
        <v>369383</v>
      </c>
      <c r="BQ84" s="61">
        <f t="shared" si="219"/>
        <v>397441</v>
      </c>
      <c r="BR84" s="61"/>
      <c r="BS84" s="61"/>
      <c r="BT84" s="61"/>
      <c r="BU84" s="61"/>
      <c r="BV84" s="61"/>
      <c r="BW84" s="61"/>
      <c r="BX84" s="61"/>
      <c r="BY84" s="61"/>
      <c r="BZ84" s="61"/>
      <c r="CA84" s="61"/>
      <c r="CB84" s="61"/>
      <c r="CC84" s="61"/>
      <c r="CD84" s="61"/>
      <c r="CE84" s="61"/>
      <c r="CF84" s="61"/>
      <c r="CG84" s="61"/>
      <c r="CH84" s="61"/>
      <c r="CI84" s="61"/>
      <c r="CJ84" s="61"/>
      <c r="CK84" s="61"/>
      <c r="CL84" s="61"/>
      <c r="CM84" s="61"/>
      <c r="CN84" s="61"/>
      <c r="CO84" s="61"/>
    </row>
    <row r="85" spans="1:93" s="17" customFormat="1" ht="12.95" customHeight="1">
      <c r="A85" s="75"/>
      <c r="C85" s="61"/>
      <c r="D85" s="61"/>
      <c r="E85" s="61"/>
      <c r="F85" s="61"/>
      <c r="G85" s="61"/>
      <c r="H85" s="61"/>
      <c r="I85" s="61"/>
      <c r="J85" s="61"/>
      <c r="K85" s="61"/>
      <c r="L85" s="61"/>
      <c r="M85" s="61"/>
      <c r="N85" s="61"/>
      <c r="O85" s="61"/>
      <c r="P85" s="61"/>
      <c r="Q85" s="61"/>
      <c r="R85" s="61"/>
      <c r="S85" s="61"/>
      <c r="T85" s="61"/>
      <c r="U85" s="61"/>
      <c r="V85" s="61"/>
      <c r="W85" s="61"/>
      <c r="X85" s="61"/>
      <c r="Y85" s="61"/>
      <c r="Z85" s="61"/>
      <c r="AA85" s="61"/>
      <c r="AB85" s="61"/>
      <c r="AC85" s="61"/>
      <c r="AD85" s="61"/>
      <c r="AE85" s="61"/>
      <c r="AF85" s="61"/>
      <c r="AG85" s="61"/>
      <c r="AH85" s="61"/>
      <c r="AI85" s="61"/>
      <c r="AJ85" s="61"/>
      <c r="AK85" s="61"/>
      <c r="AL85" s="61"/>
      <c r="AM85" s="61"/>
      <c r="AN85" s="61"/>
      <c r="AO85" s="61"/>
      <c r="AP85" s="61"/>
      <c r="AQ85" s="61"/>
      <c r="AR85" s="61"/>
      <c r="AS85" s="61"/>
      <c r="AT85" s="61"/>
      <c r="AU85" s="61"/>
      <c r="AV85" s="61"/>
      <c r="AW85" s="61"/>
      <c r="AX85" s="61"/>
      <c r="AY85" s="61"/>
      <c r="AZ85" s="61"/>
      <c r="BA85" s="61"/>
      <c r="BB85" s="61"/>
      <c r="BC85" s="61"/>
      <c r="BD85" s="61"/>
      <c r="BE85" s="61"/>
      <c r="BF85" s="61"/>
      <c r="BG85" s="61"/>
      <c r="BH85" s="61"/>
      <c r="BI85" s="61"/>
      <c r="BJ85" s="61"/>
      <c r="BK85" s="61"/>
      <c r="BL85" s="61"/>
      <c r="BM85" s="61"/>
      <c r="BN85" s="61"/>
      <c r="BO85" s="61"/>
      <c r="BP85" s="61"/>
      <c r="BQ85" s="61"/>
      <c r="BR85" s="61"/>
      <c r="BS85" s="61"/>
      <c r="BT85" s="61"/>
      <c r="BU85" s="61"/>
      <c r="BV85" s="61"/>
      <c r="BW85" s="61"/>
      <c r="BX85" s="61"/>
      <c r="BY85" s="61"/>
      <c r="BZ85" s="61"/>
      <c r="CA85" s="61"/>
      <c r="CB85" s="61"/>
      <c r="CC85" s="61"/>
      <c r="CD85" s="61"/>
      <c r="CE85" s="61"/>
      <c r="CF85" s="61"/>
      <c r="CG85" s="61"/>
      <c r="CH85" s="61"/>
      <c r="CI85" s="61"/>
      <c r="CJ85" s="61"/>
      <c r="CK85" s="61"/>
      <c r="CL85" s="61"/>
      <c r="CM85" s="61"/>
      <c r="CN85" s="61"/>
      <c r="CO85" s="61"/>
    </row>
    <row r="86" spans="1:93" s="17" customFormat="1" ht="12.95" customHeight="1">
      <c r="A86" s="75"/>
      <c r="B86" s="45" t="s">
        <v>300</v>
      </c>
      <c r="C86" s="61"/>
      <c r="D86" s="61"/>
      <c r="E86" s="61"/>
      <c r="F86" s="61"/>
      <c r="G86" s="61"/>
      <c r="H86" s="61"/>
      <c r="I86" s="61"/>
      <c r="J86" s="61"/>
      <c r="K86" s="61"/>
      <c r="L86" s="61"/>
      <c r="M86" s="61"/>
      <c r="N86" s="61"/>
      <c r="O86" s="61"/>
      <c r="P86" s="61"/>
      <c r="Q86" s="61"/>
      <c r="R86" s="61"/>
      <c r="S86" s="61"/>
      <c r="T86" s="61"/>
      <c r="U86" s="61"/>
      <c r="V86" s="61"/>
      <c r="W86" s="61"/>
      <c r="X86" s="61"/>
      <c r="Y86" s="61"/>
      <c r="Z86" s="61"/>
      <c r="AA86" s="61"/>
      <c r="AB86" s="61"/>
      <c r="AC86" s="61"/>
      <c r="AD86" s="61"/>
      <c r="AE86" s="61"/>
      <c r="AF86" s="61"/>
      <c r="AG86" s="61"/>
      <c r="AH86" s="61"/>
      <c r="AI86" s="61"/>
      <c r="AJ86" s="61"/>
      <c r="AK86" s="61"/>
      <c r="AL86" s="61"/>
      <c r="AM86" s="61"/>
      <c r="AN86" s="61"/>
      <c r="AO86" s="61"/>
      <c r="AP86" s="61"/>
      <c r="AQ86" s="61">
        <f t="shared" ref="AQ86:AT86" si="220">+AQ47</f>
        <v>10751</v>
      </c>
      <c r="AR86" s="61">
        <f t="shared" si="220"/>
        <v>10343</v>
      </c>
      <c r="AS86" s="61">
        <f t="shared" si="220"/>
        <v>9037</v>
      </c>
      <c r="AT86" s="61">
        <f t="shared" si="220"/>
        <v>8497</v>
      </c>
      <c r="AU86" s="61">
        <f t="shared" ref="AU86:BJ86" si="221">+AU47</f>
        <v>10445</v>
      </c>
      <c r="AV86" s="61">
        <f t="shared" si="221"/>
        <v>9595</v>
      </c>
      <c r="AW86" s="61">
        <f t="shared" si="221"/>
        <v>10194</v>
      </c>
      <c r="AX86" s="61">
        <f t="shared" si="221"/>
        <v>8717</v>
      </c>
      <c r="AY86" s="61">
        <f t="shared" si="221"/>
        <v>11897</v>
      </c>
      <c r="AZ86" s="61">
        <f t="shared" si="221"/>
        <v>10625</v>
      </c>
      <c r="BA86" s="61">
        <f t="shared" si="221"/>
        <v>10298</v>
      </c>
      <c r="BB86" s="61">
        <f t="shared" si="221"/>
        <v>9318</v>
      </c>
      <c r="BC86" s="61">
        <f t="shared" si="221"/>
        <v>12623</v>
      </c>
      <c r="BD86" s="61">
        <f t="shared" si="221"/>
        <v>12123</v>
      </c>
      <c r="BE86" s="61">
        <f t="shared" si="221"/>
        <v>12119</v>
      </c>
      <c r="BF86" s="61">
        <f t="shared" si="221"/>
        <v>10892</v>
      </c>
      <c r="BG86" s="61">
        <f t="shared" si="221"/>
        <v>14210</v>
      </c>
      <c r="BH86" s="61">
        <f t="shared" si="221"/>
        <v>13318</v>
      </c>
      <c r="BI86" s="61">
        <f t="shared" si="221"/>
        <v>14405</v>
      </c>
      <c r="BJ86" s="61">
        <f t="shared" si="221"/>
        <v>13592</v>
      </c>
      <c r="BK86" s="61">
        <f t="shared" ref="BK86:BQ86" si="222">+BK47</f>
        <v>19814</v>
      </c>
      <c r="BL86" s="61">
        <f t="shared" si="222"/>
        <v>19428</v>
      </c>
      <c r="BM86" s="61">
        <f t="shared" si="222"/>
        <v>22478</v>
      </c>
      <c r="BN86" s="61">
        <f t="shared" si="222"/>
        <v>21963</v>
      </c>
      <c r="BO86" s="61">
        <f t="shared" si="222"/>
        <v>25407</v>
      </c>
      <c r="BP86" s="61">
        <f t="shared" si="222"/>
        <v>20050</v>
      </c>
      <c r="BQ86" s="61">
        <f t="shared" si="222"/>
        <v>27301</v>
      </c>
      <c r="BR86" s="61"/>
      <c r="BS86" s="61"/>
      <c r="BT86" s="61"/>
      <c r="BU86" s="61"/>
      <c r="BV86" s="61"/>
      <c r="BW86" s="61"/>
      <c r="BX86" s="61"/>
      <c r="BY86" s="61"/>
      <c r="BZ86" s="61"/>
      <c r="CA86" s="61"/>
      <c r="CB86" s="61"/>
      <c r="CC86" s="61"/>
      <c r="CD86" s="61"/>
      <c r="CE86" s="61"/>
      <c r="CF86" s="61"/>
      <c r="CG86" s="61"/>
      <c r="CH86" s="61"/>
      <c r="CI86" s="61"/>
      <c r="CJ86" s="61"/>
      <c r="CK86" s="61"/>
      <c r="CL86" s="61"/>
      <c r="CM86" s="61"/>
      <c r="CN86" s="61"/>
      <c r="CO86" s="61"/>
    </row>
    <row r="87" spans="1:93" s="17" customFormat="1" ht="12.95" customHeight="1">
      <c r="A87" s="75"/>
      <c r="B87" s="45" t="s">
        <v>299</v>
      </c>
      <c r="C87" s="61"/>
      <c r="D87" s="61"/>
      <c r="E87" s="61"/>
      <c r="F87" s="61"/>
      <c r="G87" s="61"/>
      <c r="H87" s="61"/>
      <c r="I87" s="61"/>
      <c r="J87" s="61"/>
      <c r="K87" s="61"/>
      <c r="L87" s="61"/>
      <c r="M87" s="61"/>
      <c r="N87" s="61"/>
      <c r="O87" s="61"/>
      <c r="P87" s="61"/>
      <c r="Q87" s="61"/>
      <c r="R87" s="61"/>
      <c r="S87" s="61"/>
      <c r="T87" s="61"/>
      <c r="U87" s="61"/>
      <c r="V87" s="61"/>
      <c r="W87" s="61"/>
      <c r="X87" s="61"/>
      <c r="Y87" s="61"/>
      <c r="Z87" s="61"/>
      <c r="AA87" s="61"/>
      <c r="AB87" s="61"/>
      <c r="AC87" s="61"/>
      <c r="AD87" s="61"/>
      <c r="AE87" s="61"/>
      <c r="AF87" s="61"/>
      <c r="AG87" s="61"/>
      <c r="AH87" s="61"/>
      <c r="AI87" s="61"/>
      <c r="AJ87" s="61"/>
      <c r="AK87" s="61"/>
      <c r="AL87" s="61"/>
      <c r="AM87" s="61"/>
      <c r="AN87" s="61"/>
      <c r="AO87" s="61"/>
      <c r="AP87" s="61"/>
      <c r="AQ87" s="61">
        <v>10751</v>
      </c>
      <c r="AR87" s="61">
        <f>21094-AQ87</f>
        <v>10343</v>
      </c>
      <c r="AS87" s="61">
        <f>30131-AR87-AQ87</f>
        <v>9037</v>
      </c>
      <c r="AT87" s="61">
        <f>38628-AS87-AR87-AQ87</f>
        <v>8497</v>
      </c>
      <c r="AU87" s="61">
        <v>10445</v>
      </c>
      <c r="AV87" s="61">
        <f>20040-AU87</f>
        <v>9595</v>
      </c>
      <c r="AW87" s="61">
        <f>30234-AV87-AU87</f>
        <v>10194</v>
      </c>
      <c r="AX87" s="61">
        <f>38951-AW87-AV87-AU87</f>
        <v>8717</v>
      </c>
      <c r="AY87" s="61">
        <v>11897</v>
      </c>
      <c r="AZ87" s="61">
        <f>22522-AY87</f>
        <v>10625</v>
      </c>
      <c r="BA87" s="61">
        <f>32820-AZ87-AY87</f>
        <v>10298</v>
      </c>
      <c r="BB87" s="61">
        <f>42138-BA87-AZ87-AY87</f>
        <v>9318</v>
      </c>
      <c r="BC87" s="61">
        <v>12623</v>
      </c>
      <c r="BD87" s="61">
        <f>24746-BC87</f>
        <v>12123</v>
      </c>
      <c r="BE87" s="61">
        <f>36865-BD87-BC87</f>
        <v>12119</v>
      </c>
      <c r="BF87" s="61">
        <f>47757-BE87-BD87-BC87</f>
        <v>10892</v>
      </c>
      <c r="BG87" s="61">
        <v>14210</v>
      </c>
      <c r="BH87" s="61">
        <f>27528-BG87</f>
        <v>13318</v>
      </c>
      <c r="BI87" s="61">
        <f>41933-BH87-BG87</f>
        <v>14405</v>
      </c>
      <c r="BJ87" s="61">
        <f>55525-BI87-BH87-BG87</f>
        <v>13592</v>
      </c>
      <c r="BK87" s="61">
        <v>19814</v>
      </c>
      <c r="BL87" s="61">
        <f>39242-BK87</f>
        <v>19428</v>
      </c>
      <c r="BM87" s="61">
        <f>61720-BL87-BK87</f>
        <v>22478</v>
      </c>
      <c r="BN87" s="61">
        <f>83683-BM87-BL87-BK87</f>
        <v>21963</v>
      </c>
      <c r="BO87" s="61">
        <v>25407</v>
      </c>
      <c r="BP87" s="61">
        <f>45457-BO87</f>
        <v>20050</v>
      </c>
      <c r="BQ87" s="61">
        <f>72758-BP87-BO87</f>
        <v>27301</v>
      </c>
      <c r="BR87" s="61"/>
      <c r="BS87" s="61"/>
      <c r="BT87" s="61"/>
      <c r="BU87" s="61"/>
      <c r="BV87" s="61"/>
      <c r="BW87" s="61"/>
      <c r="BX87" s="61"/>
      <c r="BY87" s="61"/>
      <c r="BZ87" s="61"/>
      <c r="CA87" s="61"/>
      <c r="CB87" s="61"/>
      <c r="CC87" s="61"/>
      <c r="CD87" s="61"/>
      <c r="CE87" s="61"/>
      <c r="CF87" s="61"/>
      <c r="CG87" s="61"/>
      <c r="CH87" s="61"/>
      <c r="CI87" s="61"/>
      <c r="CJ87" s="61"/>
      <c r="CK87" s="61"/>
      <c r="CL87" s="61"/>
      <c r="CM87" s="61"/>
      <c r="CN87" s="61"/>
      <c r="CO87" s="61"/>
    </row>
    <row r="88" spans="1:93" s="17" customFormat="1" ht="12.95" customHeight="1">
      <c r="A88" s="75"/>
      <c r="B88" s="45" t="s">
        <v>302</v>
      </c>
      <c r="C88" s="61"/>
      <c r="D88" s="61"/>
      <c r="E88" s="61"/>
      <c r="F88" s="61"/>
      <c r="G88" s="61"/>
      <c r="H88" s="61"/>
      <c r="I88" s="61"/>
      <c r="J88" s="61"/>
      <c r="K88" s="61"/>
      <c r="L88" s="61"/>
      <c r="M88" s="61"/>
      <c r="N88" s="61"/>
      <c r="O88" s="61"/>
      <c r="P88" s="61"/>
      <c r="Q88" s="61"/>
      <c r="R88" s="61"/>
      <c r="S88" s="61"/>
      <c r="T88" s="61"/>
      <c r="U88" s="61"/>
      <c r="V88" s="61"/>
      <c r="W88" s="61"/>
      <c r="X88" s="61"/>
      <c r="Y88" s="61"/>
      <c r="Z88" s="61"/>
      <c r="AA88" s="61"/>
      <c r="AB88" s="61"/>
      <c r="AC88" s="61"/>
      <c r="AD88" s="61"/>
      <c r="AE88" s="61"/>
      <c r="AF88" s="61"/>
      <c r="AG88" s="61"/>
      <c r="AH88" s="61"/>
      <c r="AI88" s="61"/>
      <c r="AJ88" s="61"/>
      <c r="AK88" s="61"/>
      <c r="AL88" s="61"/>
      <c r="AM88" s="61"/>
      <c r="AN88" s="61"/>
      <c r="AO88" s="61"/>
      <c r="AP88" s="61"/>
      <c r="AQ88" s="61">
        <v>2858</v>
      </c>
      <c r="AR88" s="61">
        <f>5013-AQ88</f>
        <v>2155</v>
      </c>
      <c r="AS88" s="61">
        <f>7114-AR88-AQ88</f>
        <v>2101</v>
      </c>
      <c r="AT88" s="61">
        <f>8987-AS88-AR88-AQ88</f>
        <v>1873</v>
      </c>
      <c r="AU88" s="61">
        <v>2777</v>
      </c>
      <c r="AV88" s="61">
        <f>5327-AU88</f>
        <v>2550</v>
      </c>
      <c r="AW88" s="61">
        <f>7240-AV88-AU88</f>
        <v>1913</v>
      </c>
      <c r="AX88" s="61">
        <f>9602-AW88-AV88-AU88</f>
        <v>2362</v>
      </c>
      <c r="AY88" s="61">
        <v>3124</v>
      </c>
      <c r="AZ88" s="61">
        <f>5915-AY88</f>
        <v>2791</v>
      </c>
      <c r="BA88" s="61">
        <f>8308-AZ88-AY88</f>
        <v>2393</v>
      </c>
      <c r="BB88" s="61">
        <f>10992-BA88-AZ88-AY88</f>
        <v>2684</v>
      </c>
      <c r="BC88" s="61">
        <v>3315</v>
      </c>
      <c r="BD88" s="61">
        <f>6109-BC88</f>
        <v>2794</v>
      </c>
      <c r="BE88" s="61">
        <f>9102-BD88-BC88</f>
        <v>2993</v>
      </c>
      <c r="BF88" s="61">
        <f>11323-BE88-BD88-BC88</f>
        <v>2221</v>
      </c>
      <c r="BG88" s="61">
        <v>3709</v>
      </c>
      <c r="BH88" s="61">
        <f>7186-BG88</f>
        <v>3477</v>
      </c>
      <c r="BI88" s="61">
        <f>10813-BH88-BG88</f>
        <v>3627</v>
      </c>
      <c r="BJ88" s="61">
        <f>13537-BI88-BH88-BG88</f>
        <v>2724</v>
      </c>
      <c r="BK88" s="61">
        <v>4923</v>
      </c>
      <c r="BL88" s="61">
        <f>9749-BK88</f>
        <v>4826</v>
      </c>
      <c r="BM88" s="61">
        <f>15334-BL88-BK88</f>
        <v>5585</v>
      </c>
      <c r="BN88" s="61">
        <f>20991-BM88-BL88-BK88</f>
        <v>5657</v>
      </c>
      <c r="BO88" s="61">
        <v>6511</v>
      </c>
      <c r="BP88" s="61">
        <f>11793-BO88</f>
        <v>5282</v>
      </c>
      <c r="BQ88" s="61">
        <f>18876-BP88-BO88</f>
        <v>7083</v>
      </c>
      <c r="BR88" s="61"/>
      <c r="BS88" s="61"/>
      <c r="BT88" s="61"/>
      <c r="BU88" s="61"/>
      <c r="BV88" s="61"/>
      <c r="BW88" s="61"/>
      <c r="BX88" s="61"/>
      <c r="BY88" s="61"/>
      <c r="BZ88" s="61"/>
      <c r="CA88" s="61"/>
      <c r="CB88" s="61"/>
      <c r="CC88" s="61"/>
      <c r="CD88" s="61"/>
      <c r="CE88" s="61"/>
      <c r="CF88" s="61"/>
      <c r="CG88" s="61"/>
      <c r="CH88" s="61"/>
      <c r="CI88" s="61"/>
      <c r="CJ88" s="61"/>
      <c r="CK88" s="61"/>
      <c r="CL88" s="61"/>
      <c r="CM88" s="61"/>
      <c r="CN88" s="61"/>
      <c r="CO88" s="61"/>
    </row>
    <row r="89" spans="1:93" s="17" customFormat="1" ht="12.95" customHeight="1">
      <c r="A89" s="75"/>
      <c r="B89" s="45" t="s">
        <v>307</v>
      </c>
      <c r="C89" s="61"/>
      <c r="D89" s="61"/>
      <c r="E89" s="61"/>
      <c r="F89" s="61"/>
      <c r="G89" s="61"/>
      <c r="H89" s="61"/>
      <c r="I89" s="61"/>
      <c r="J89" s="61"/>
      <c r="K89" s="61"/>
      <c r="L89" s="61"/>
      <c r="M89" s="61"/>
      <c r="N89" s="61"/>
      <c r="O89" s="61"/>
      <c r="P89" s="61"/>
      <c r="Q89" s="61"/>
      <c r="R89" s="61"/>
      <c r="S89" s="61"/>
      <c r="T89" s="61"/>
      <c r="U89" s="61"/>
      <c r="V89" s="61"/>
      <c r="W89" s="61"/>
      <c r="X89" s="61"/>
      <c r="Y89" s="61"/>
      <c r="Z89" s="61"/>
      <c r="AA89" s="61"/>
      <c r="AB89" s="61"/>
      <c r="AC89" s="61"/>
      <c r="AD89" s="61"/>
      <c r="AE89" s="61"/>
      <c r="AF89" s="61"/>
      <c r="AG89" s="61"/>
      <c r="AH89" s="61"/>
      <c r="AI89" s="61"/>
      <c r="AJ89" s="61"/>
      <c r="AK89" s="61"/>
      <c r="AL89" s="61"/>
      <c r="AM89" s="61"/>
      <c r="AN89" s="61"/>
      <c r="AO89" s="61"/>
      <c r="AP89" s="61"/>
      <c r="AQ89" s="61">
        <v>732</v>
      </c>
      <c r="AR89" s="61">
        <f>1500-AQ89</f>
        <v>768</v>
      </c>
      <c r="AS89" s="61">
        <f>2283-AR89-AQ89</f>
        <v>783</v>
      </c>
      <c r="AT89" s="61">
        <f>3925-AS89-AR89-AQ89</f>
        <v>1642</v>
      </c>
      <c r="AU89" s="61">
        <v>1058</v>
      </c>
      <c r="AV89" s="61">
        <f>2168-AU89</f>
        <v>1110</v>
      </c>
      <c r="AW89" s="61">
        <f>4263-AV89-AU89</f>
        <v>2095</v>
      </c>
      <c r="AX89" s="61">
        <f>5661-AW89-AV89-AU89</f>
        <v>1398</v>
      </c>
      <c r="AY89" s="61">
        <v>1086</v>
      </c>
      <c r="AZ89" s="61">
        <f>2244-AY89</f>
        <v>1158</v>
      </c>
      <c r="BA89" s="61">
        <f>4374-AZ89-AY89</f>
        <v>2130</v>
      </c>
      <c r="BB89" s="61">
        <f>5753-BA89-AZ89-AY89</f>
        <v>1379</v>
      </c>
      <c r="BC89" s="61">
        <v>1377</v>
      </c>
      <c r="BD89" s="61">
        <f>2594-BC89</f>
        <v>1217</v>
      </c>
      <c r="BE89" s="61">
        <f>3943-BD89-BC89</f>
        <v>1349</v>
      </c>
      <c r="BF89" s="61">
        <f>6025-BE89-BD89-BC89</f>
        <v>2082</v>
      </c>
      <c r="BG89" s="61">
        <v>1650</v>
      </c>
      <c r="BH89" s="61">
        <f>3286-BG89</f>
        <v>1636</v>
      </c>
      <c r="BI89" s="61">
        <f>5327-BH89-BG89</f>
        <v>2041</v>
      </c>
      <c r="BJ89" s="61">
        <f>7362-BI89-BH89-BG89</f>
        <v>2035</v>
      </c>
      <c r="BK89" s="61">
        <v>1719</v>
      </c>
      <c r="BL89" s="61">
        <f>3896-BK89</f>
        <v>2177</v>
      </c>
      <c r="BM89" s="61">
        <f>6421-BL89-BK89</f>
        <v>2525</v>
      </c>
      <c r="BN89" s="61">
        <f>9413-BM89-BL89-BK89</f>
        <v>2992</v>
      </c>
      <c r="BO89" s="61">
        <v>2914</v>
      </c>
      <c r="BP89" s="61">
        <f>11759-BP90</f>
        <v>580</v>
      </c>
      <c r="BQ89" s="61">
        <f>13909-BP89-BO89</f>
        <v>10415</v>
      </c>
      <c r="BR89" s="61"/>
      <c r="BS89" s="61"/>
      <c r="BT89" s="61"/>
      <c r="BU89" s="61"/>
      <c r="BV89" s="61"/>
      <c r="BW89" s="61"/>
      <c r="BX89" s="61"/>
      <c r="BY89" s="61"/>
      <c r="BZ89" s="61"/>
      <c r="CA89" s="61"/>
      <c r="CB89" s="61"/>
      <c r="CC89" s="61"/>
      <c r="CD89" s="61"/>
      <c r="CE89" s="61"/>
      <c r="CF89" s="61"/>
      <c r="CG89" s="61"/>
      <c r="CH89" s="61"/>
      <c r="CI89" s="61"/>
      <c r="CJ89" s="61"/>
      <c r="CK89" s="61"/>
      <c r="CL89" s="61"/>
      <c r="CM89" s="61"/>
      <c r="CN89" s="61"/>
      <c r="CO89" s="61"/>
    </row>
    <row r="90" spans="1:93" s="17" customFormat="1" ht="12.95" customHeight="1">
      <c r="A90" s="75"/>
      <c r="B90" s="45" t="s">
        <v>306</v>
      </c>
      <c r="C90" s="61"/>
      <c r="D90" s="61"/>
      <c r="E90" s="61"/>
      <c r="F90" s="61"/>
      <c r="G90" s="61"/>
      <c r="H90" s="61"/>
      <c r="I90" s="61"/>
      <c r="J90" s="61"/>
      <c r="K90" s="61"/>
      <c r="L90" s="61"/>
      <c r="M90" s="61"/>
      <c r="N90" s="61"/>
      <c r="O90" s="61"/>
      <c r="P90" s="61"/>
      <c r="Q90" s="61"/>
      <c r="R90" s="61"/>
      <c r="S90" s="61"/>
      <c r="T90" s="61"/>
      <c r="U90" s="61"/>
      <c r="V90" s="61"/>
      <c r="W90" s="61"/>
      <c r="X90" s="61"/>
      <c r="Y90" s="61"/>
      <c r="Z90" s="61"/>
      <c r="AA90" s="61"/>
      <c r="AB90" s="61"/>
      <c r="AC90" s="61"/>
      <c r="AD90" s="61"/>
      <c r="AE90" s="61"/>
      <c r="AF90" s="61"/>
      <c r="AG90" s="61"/>
      <c r="AH90" s="61"/>
      <c r="AI90" s="61"/>
      <c r="AJ90" s="61"/>
      <c r="AK90" s="61"/>
      <c r="AL90" s="61"/>
      <c r="AM90" s="61"/>
      <c r="AN90" s="61"/>
      <c r="AO90" s="61"/>
      <c r="AP90" s="61"/>
      <c r="AQ90" s="61">
        <f>-122-699</f>
        <v>-821</v>
      </c>
      <c r="AR90" s="61">
        <f>3557-AQ90-122</f>
        <v>4256</v>
      </c>
      <c r="AS90" s="61">
        <f>-122+4739-AR90-AQ90</f>
        <v>1182</v>
      </c>
      <c r="AT90" s="61">
        <f>6098-AS90-AR90-AQ90</f>
        <v>1481</v>
      </c>
      <c r="AU90" s="61">
        <v>2249</v>
      </c>
      <c r="AV90" s="61">
        <f>5548-AU90</f>
        <v>3299</v>
      </c>
      <c r="AW90" s="61">
        <f>7139-AV90-AU90</f>
        <v>1591</v>
      </c>
      <c r="AX90" s="61">
        <f>7032-AW90-AV90-AU90</f>
        <v>-107</v>
      </c>
      <c r="AY90" s="61">
        <v>5998</v>
      </c>
      <c r="AZ90" s="61">
        <f>9139-AY90</f>
        <v>3141</v>
      </c>
      <c r="BA90" s="61">
        <f>13508-AZ90-AY90</f>
        <v>4369</v>
      </c>
      <c r="BB90" s="61">
        <f>7849-BA90-AZ90-AY90</f>
        <v>-5659</v>
      </c>
      <c r="BC90" s="61">
        <v>1034</v>
      </c>
      <c r="BD90" s="61">
        <f>9172-BC90</f>
        <v>8138</v>
      </c>
      <c r="BE90" s="61">
        <f>14647-BD90-BC90</f>
        <v>5475</v>
      </c>
      <c r="BF90" s="61">
        <f>13009-BE90-BD90-BC90</f>
        <v>-1638</v>
      </c>
      <c r="BG90" s="61">
        <v>7388</v>
      </c>
      <c r="BH90" s="61">
        <f>11805-BG90</f>
        <v>4417</v>
      </c>
      <c r="BI90" s="61">
        <f>28707-BH90-BG90</f>
        <v>16902</v>
      </c>
      <c r="BJ90" s="61">
        <f>22310-BI90-BH90-BG90</f>
        <v>-6397</v>
      </c>
      <c r="BK90" s="61">
        <v>20230</v>
      </c>
      <c r="BL90" s="61">
        <f>30935-BK90</f>
        <v>10705</v>
      </c>
      <c r="BM90" s="61">
        <f>32922-BL90-BK90</f>
        <v>1987</v>
      </c>
      <c r="BN90" s="61">
        <f>32382-BM90-BL90-BK90</f>
        <v>-540</v>
      </c>
      <c r="BO90" s="61">
        <v>118</v>
      </c>
      <c r="BP90" s="61">
        <f>11297-BO90</f>
        <v>11179</v>
      </c>
      <c r="BQ90" s="61">
        <f>30109-BP90-BO90</f>
        <v>18812</v>
      </c>
      <c r="BR90" s="61"/>
      <c r="BS90" s="61"/>
      <c r="BT90" s="61"/>
      <c r="BU90" s="61"/>
      <c r="BV90" s="61"/>
      <c r="BW90" s="61"/>
      <c r="BX90" s="61"/>
      <c r="BY90" s="61"/>
      <c r="BZ90" s="61"/>
      <c r="CA90" s="61"/>
      <c r="CB90" s="61"/>
      <c r="CC90" s="61"/>
      <c r="CD90" s="61"/>
      <c r="CE90" s="61"/>
      <c r="CF90" s="61"/>
      <c r="CG90" s="61"/>
      <c r="CH90" s="61"/>
      <c r="CI90" s="61"/>
      <c r="CJ90" s="61"/>
      <c r="CK90" s="61"/>
      <c r="CL90" s="61"/>
      <c r="CM90" s="61"/>
      <c r="CN90" s="61"/>
      <c r="CO90" s="61"/>
    </row>
    <row r="91" spans="1:93" s="17" customFormat="1" ht="12.95" customHeight="1">
      <c r="A91" s="75"/>
      <c r="B91" s="45" t="s">
        <v>305</v>
      </c>
      <c r="C91" s="61"/>
      <c r="D91" s="61"/>
      <c r="E91" s="61"/>
      <c r="F91" s="61"/>
      <c r="G91" s="61"/>
      <c r="H91" s="61"/>
      <c r="I91" s="61"/>
      <c r="J91" s="61"/>
      <c r="K91" s="61"/>
      <c r="L91" s="61"/>
      <c r="M91" s="61"/>
      <c r="N91" s="61"/>
      <c r="O91" s="61"/>
      <c r="P91" s="61"/>
      <c r="Q91" s="61"/>
      <c r="R91" s="61"/>
      <c r="S91" s="61"/>
      <c r="T91" s="61"/>
      <c r="U91" s="61"/>
      <c r="V91" s="61"/>
      <c r="W91" s="61"/>
      <c r="X91" s="61"/>
      <c r="Y91" s="61"/>
      <c r="Z91" s="61"/>
      <c r="AA91" s="61"/>
      <c r="AB91" s="61"/>
      <c r="AC91" s="61"/>
      <c r="AD91" s="61"/>
      <c r="AE91" s="61"/>
      <c r="AF91" s="61"/>
      <c r="AG91" s="61"/>
      <c r="AH91" s="61"/>
      <c r="AI91" s="61"/>
      <c r="AJ91" s="61"/>
      <c r="AK91" s="61"/>
      <c r="AL91" s="61"/>
      <c r="AM91" s="61"/>
      <c r="AN91" s="61"/>
      <c r="AO91" s="61"/>
      <c r="AP91" s="61"/>
      <c r="AQ91" s="61">
        <v>644</v>
      </c>
      <c r="AR91" s="61">
        <f>27-AQ91</f>
        <v>-617</v>
      </c>
      <c r="AS91" s="61">
        <f>-663-AR91-AQ91</f>
        <v>-690</v>
      </c>
      <c r="AT91" s="61">
        <f>-3370-AS91-AR91-AQ91</f>
        <v>-2707</v>
      </c>
      <c r="AU91" s="61">
        <v>-2128</v>
      </c>
      <c r="AV91" s="61">
        <f>-3026-AU91</f>
        <v>-898</v>
      </c>
      <c r="AW91" s="61">
        <f>-1304-AV91-AU91</f>
        <v>1722</v>
      </c>
      <c r="AX91" s="61">
        <f>-3388-AW91-AV91-AU91</f>
        <v>-2084</v>
      </c>
      <c r="AY91" s="61">
        <v>-7496</v>
      </c>
      <c r="AZ91" s="61">
        <f>-463-AY91</f>
        <v>7033</v>
      </c>
      <c r="BA91" s="61">
        <f>-384-AZ91-AY91</f>
        <v>79</v>
      </c>
      <c r="BB91" s="61">
        <f>-4353-BA91-AZ91-AY91</f>
        <v>-3969</v>
      </c>
      <c r="BC91" s="61">
        <v>-1126</v>
      </c>
      <c r="BD91" s="61">
        <f>1739-BC91</f>
        <v>2865</v>
      </c>
      <c r="BE91" s="61">
        <f>2032-BD91-BC91</f>
        <v>293</v>
      </c>
      <c r="BF91" s="61">
        <f>-8656-BE91-BD91-BC91</f>
        <v>-10688</v>
      </c>
      <c r="BG91" s="61">
        <v>1893</v>
      </c>
      <c r="BH91" s="61">
        <f>5982-BG91</f>
        <v>4089</v>
      </c>
      <c r="BI91" s="61">
        <f>-5028-BH91-BG91</f>
        <v>-11010</v>
      </c>
      <c r="BJ91" s="61">
        <f>-5336-BI91-BH91-BG91</f>
        <v>-308</v>
      </c>
      <c r="BK91" s="61">
        <v>-10216</v>
      </c>
      <c r="BL91" s="61">
        <f>-14231-BK91</f>
        <v>-4015</v>
      </c>
      <c r="BM91" s="61">
        <f>-2562-BL91-BK91</f>
        <v>11669</v>
      </c>
      <c r="BN91" s="61">
        <f>-12245-BM91-BL91-BK91</f>
        <v>-9683</v>
      </c>
      <c r="BO91" s="61">
        <v>-8852</v>
      </c>
      <c r="BP91" s="61">
        <f>249-BO91</f>
        <v>9101</v>
      </c>
      <c r="BQ91" s="61">
        <f>-11014-BP91-BO91</f>
        <v>-11263</v>
      </c>
      <c r="BR91" s="61"/>
      <c r="BS91" s="61"/>
      <c r="BT91" s="61"/>
      <c r="BU91" s="61"/>
      <c r="BV91" s="61"/>
      <c r="BW91" s="61"/>
      <c r="BX91" s="61"/>
      <c r="BY91" s="61"/>
      <c r="BZ91" s="61"/>
      <c r="CA91" s="61"/>
      <c r="CB91" s="61"/>
      <c r="CC91" s="61"/>
      <c r="CD91" s="61"/>
      <c r="CE91" s="61"/>
      <c r="CF91" s="61"/>
      <c r="CG91" s="61"/>
      <c r="CH91" s="61"/>
      <c r="CI91" s="61"/>
      <c r="CJ91" s="61"/>
      <c r="CK91" s="61"/>
      <c r="CL91" s="61"/>
      <c r="CM91" s="61"/>
      <c r="CN91" s="61"/>
      <c r="CO91" s="61"/>
    </row>
    <row r="92" spans="1:93" s="17" customFormat="1" ht="12.95" customHeight="1">
      <c r="A92" s="75"/>
      <c r="B92" s="45" t="s">
        <v>304</v>
      </c>
      <c r="C92" s="61"/>
      <c r="D92" s="61"/>
      <c r="E92" s="61"/>
      <c r="F92" s="61"/>
      <c r="G92" s="61"/>
      <c r="H92" s="61"/>
      <c r="I92" s="61"/>
      <c r="J92" s="61"/>
      <c r="K92" s="61"/>
      <c r="L92" s="61"/>
      <c r="M92" s="61"/>
      <c r="N92" s="61"/>
      <c r="O92" s="61"/>
      <c r="P92" s="61"/>
      <c r="Q92" s="61"/>
      <c r="R92" s="61"/>
      <c r="S92" s="61"/>
      <c r="T92" s="61"/>
      <c r="U92" s="61"/>
      <c r="V92" s="61"/>
      <c r="W92" s="61"/>
      <c r="X92" s="61"/>
      <c r="Y92" s="61"/>
      <c r="Z92" s="61"/>
      <c r="AA92" s="61"/>
      <c r="AB92" s="61"/>
      <c r="AC92" s="61"/>
      <c r="AD92" s="61"/>
      <c r="AE92" s="61"/>
      <c r="AF92" s="61"/>
      <c r="AG92" s="61"/>
      <c r="AH92" s="61"/>
      <c r="AI92" s="61"/>
      <c r="AJ92" s="61"/>
      <c r="AK92" s="61"/>
      <c r="AL92" s="61"/>
      <c r="AM92" s="61"/>
      <c r="AN92" s="61"/>
      <c r="AO92" s="61"/>
      <c r="AP92" s="61"/>
      <c r="AQ92" s="61">
        <v>12</v>
      </c>
      <c r="AR92" s="61">
        <f>22-AQ92</f>
        <v>10</v>
      </c>
      <c r="AS92" s="61">
        <f>35-AR92-AQ92</f>
        <v>13</v>
      </c>
      <c r="AT92" s="61">
        <f>51-AS92-AR92-AQ92</f>
        <v>16</v>
      </c>
      <c r="AU92" s="56">
        <v>13</v>
      </c>
      <c r="AV92" s="61">
        <f>27-AU92</f>
        <v>14</v>
      </c>
      <c r="AW92" s="61">
        <f>45-AV92-AU92</f>
        <v>18</v>
      </c>
      <c r="AX92" s="61">
        <f>64-AW92-AV92-AU92</f>
        <v>19</v>
      </c>
      <c r="AY92" s="61">
        <v>17</v>
      </c>
      <c r="AZ92" s="61">
        <f>37-AY92</f>
        <v>20</v>
      </c>
      <c r="BA92" s="61">
        <f>50-AZ92-AY92</f>
        <v>13</v>
      </c>
      <c r="BB92" s="61">
        <f>100-BA92-AZ92-AY92</f>
        <v>50</v>
      </c>
      <c r="BC92" s="56">
        <v>13</v>
      </c>
      <c r="BD92" s="61">
        <f>43-BC92</f>
        <v>30</v>
      </c>
      <c r="BE92" s="61">
        <f>149-BD92-BC92</f>
        <v>106</v>
      </c>
      <c r="BF92" s="61">
        <f>241-BE92-BD92-BC92</f>
        <v>92</v>
      </c>
      <c r="BG92" s="61">
        <v>48</v>
      </c>
      <c r="BH92" s="61">
        <f>109-BG92</f>
        <v>61</v>
      </c>
      <c r="BI92" s="61">
        <f>148-BH92-BG92</f>
        <v>39</v>
      </c>
      <c r="BJ92" s="61">
        <f>276-BI92-BH92-BG92</f>
        <v>128</v>
      </c>
      <c r="BK92" s="61">
        <v>188</v>
      </c>
      <c r="BL92" s="61">
        <f>409-BK92</f>
        <v>221</v>
      </c>
      <c r="BM92" s="61">
        <f>699-BL92-BK92</f>
        <v>290</v>
      </c>
      <c r="BN92" s="61">
        <f>1072-BM92-BL92-BK92</f>
        <v>373</v>
      </c>
      <c r="BO92" s="61">
        <v>480</v>
      </c>
      <c r="BP92" s="61">
        <f>547-BO92</f>
        <v>67</v>
      </c>
      <c r="BQ92" s="61">
        <f>1071-BP92-BO92</f>
        <v>524</v>
      </c>
      <c r="BR92" s="61"/>
      <c r="BS92" s="61"/>
      <c r="BT92" s="61"/>
      <c r="BU92" s="61"/>
      <c r="BV92" s="61"/>
      <c r="BW92" s="61"/>
      <c r="BX92" s="61"/>
      <c r="BY92" s="61"/>
      <c r="BZ92" s="61"/>
      <c r="CA92" s="61"/>
      <c r="CB92" s="61"/>
      <c r="CC92" s="61"/>
      <c r="CD92" s="61"/>
      <c r="CE92" s="61"/>
      <c r="CF92" s="61"/>
      <c r="CG92" s="61"/>
      <c r="CH92" s="61"/>
      <c r="CI92" s="61"/>
      <c r="CJ92" s="61"/>
      <c r="CK92" s="61"/>
      <c r="CL92" s="61"/>
      <c r="CM92" s="61"/>
      <c r="CN92" s="61"/>
      <c r="CO92" s="61"/>
    </row>
    <row r="93" spans="1:93" s="17" customFormat="1" ht="12.95" customHeight="1">
      <c r="A93" s="75"/>
      <c r="B93" s="45" t="s">
        <v>303</v>
      </c>
      <c r="C93" s="61"/>
      <c r="D93" s="61"/>
      <c r="E93" s="61"/>
      <c r="F93" s="61"/>
      <c r="G93" s="61"/>
      <c r="H93" s="61"/>
      <c r="I93" s="61"/>
      <c r="J93" s="61"/>
      <c r="K93" s="61"/>
      <c r="L93" s="61"/>
      <c r="M93" s="61"/>
      <c r="N93" s="61"/>
      <c r="O93" s="61"/>
      <c r="P93" s="61"/>
      <c r="Q93" s="61"/>
      <c r="R93" s="61"/>
      <c r="S93" s="61"/>
      <c r="T93" s="61"/>
      <c r="U93" s="61"/>
      <c r="V93" s="61"/>
      <c r="W93" s="61"/>
      <c r="X93" s="61"/>
      <c r="Y93" s="61"/>
      <c r="Z93" s="61"/>
      <c r="AA93" s="61"/>
      <c r="AB93" s="61"/>
      <c r="AC93" s="61"/>
      <c r="AD93" s="61"/>
      <c r="AE93" s="61"/>
      <c r="AF93" s="61"/>
      <c r="AG93" s="61"/>
      <c r="AH93" s="61"/>
      <c r="AI93" s="61"/>
      <c r="AJ93" s="61"/>
      <c r="AK93" s="61"/>
      <c r="AL93" s="61"/>
      <c r="AM93" s="61"/>
      <c r="AN93" s="61"/>
      <c r="AO93" s="61"/>
      <c r="AP93" s="61"/>
      <c r="AQ93" s="61">
        <v>-33</v>
      </c>
      <c r="AR93" s="61">
        <f>-45-AQ93</f>
        <v>-12</v>
      </c>
      <c r="AS93" s="61">
        <f>-64-AR93-AQ93</f>
        <v>-19</v>
      </c>
      <c r="AT93" s="61">
        <f>-89-AS93-AR93-AQ93</f>
        <v>-25</v>
      </c>
      <c r="AU93" s="61">
        <v>-43</v>
      </c>
      <c r="AV93" s="61">
        <f>-84-AU93</f>
        <v>-41</v>
      </c>
      <c r="AW93" s="61">
        <f>-148-AV93-AU93</f>
        <v>-64</v>
      </c>
      <c r="AX93" s="61">
        <f>-204-AW93-AV93-AU93</f>
        <v>-56</v>
      </c>
      <c r="AY93" s="61">
        <v>-112</v>
      </c>
      <c r="AZ93" s="61">
        <f>-116-AY93</f>
        <v>-4</v>
      </c>
      <c r="BA93" s="61">
        <f>-182-AZ93-AY93</f>
        <v>-66</v>
      </c>
      <c r="BB93" s="61">
        <f>-422-BA93-AZ93-AY93</f>
        <v>-240</v>
      </c>
      <c r="BC93" s="61">
        <v>-50</v>
      </c>
      <c r="BD93" s="61">
        <f>-85-BC93</f>
        <v>-35</v>
      </c>
      <c r="BE93" s="61">
        <f>-141-BD93-BC93</f>
        <v>-56</v>
      </c>
      <c r="BF93" s="61">
        <f>-261-BE93-BD93-BC93</f>
        <v>-120</v>
      </c>
      <c r="BG93" s="61">
        <v>-52</v>
      </c>
      <c r="BH93" s="61">
        <f>-120-BG93</f>
        <v>-68</v>
      </c>
      <c r="BI93" s="61">
        <f>-186-BH93-BG93</f>
        <v>-66</v>
      </c>
      <c r="BJ93" s="61">
        <f>-272-BI93-BH93-BG93</f>
        <v>-86</v>
      </c>
      <c r="BK93" s="61">
        <v>-165</v>
      </c>
      <c r="BL93" s="61">
        <f>-262-BK93</f>
        <v>-97</v>
      </c>
      <c r="BM93" s="61">
        <f>-351-BL93-BK93</f>
        <v>-89</v>
      </c>
      <c r="BN93" s="61">
        <f>-491-BM93-BL93-BK93</f>
        <v>-140</v>
      </c>
      <c r="BO93" s="61">
        <v>-140</v>
      </c>
      <c r="BP93" s="61">
        <f>-217-BO93</f>
        <v>-77</v>
      </c>
      <c r="BQ93" s="61">
        <f>-359-BP93-BO93</f>
        <v>-142</v>
      </c>
      <c r="BR93" s="61"/>
      <c r="BS93" s="61"/>
      <c r="BT93" s="61"/>
      <c r="BU93" s="61"/>
      <c r="BV93" s="61"/>
      <c r="BW93" s="61"/>
      <c r="BX93" s="61"/>
      <c r="BY93" s="61"/>
      <c r="BZ93" s="61"/>
      <c r="CA93" s="61"/>
      <c r="CB93" s="61"/>
      <c r="CC93" s="61"/>
      <c r="CD93" s="61"/>
      <c r="CE93" s="61"/>
      <c r="CF93" s="61"/>
      <c r="CG93" s="61"/>
      <c r="CH93" s="61"/>
      <c r="CI93" s="61"/>
      <c r="CJ93" s="61"/>
      <c r="CK93" s="61"/>
      <c r="CL93" s="61"/>
      <c r="CM93" s="61"/>
      <c r="CN93" s="61"/>
      <c r="CO93" s="61"/>
    </row>
    <row r="94" spans="1:93" s="17" customFormat="1" ht="12.95" customHeight="1">
      <c r="A94" s="75"/>
      <c r="B94" s="45" t="s">
        <v>302</v>
      </c>
      <c r="C94" s="61"/>
      <c r="D94" s="61"/>
      <c r="E94" s="61"/>
      <c r="F94" s="61"/>
      <c r="G94" s="61"/>
      <c r="H94" s="61"/>
      <c r="I94" s="61"/>
      <c r="J94" s="61"/>
      <c r="K94" s="61"/>
      <c r="L94" s="61"/>
      <c r="M94" s="61"/>
      <c r="N94" s="61"/>
      <c r="O94" s="61"/>
      <c r="P94" s="61"/>
      <c r="Q94" s="61"/>
      <c r="R94" s="61"/>
      <c r="S94" s="61"/>
      <c r="T94" s="61"/>
      <c r="U94" s="61"/>
      <c r="V94" s="61"/>
      <c r="W94" s="61"/>
      <c r="X94" s="61"/>
      <c r="Y94" s="61"/>
      <c r="Z94" s="61"/>
      <c r="AA94" s="61"/>
      <c r="AB94" s="61"/>
      <c r="AC94" s="61"/>
      <c r="AD94" s="61"/>
      <c r="AE94" s="61"/>
      <c r="AF94" s="61"/>
      <c r="AG94" s="61"/>
      <c r="AH94" s="61"/>
      <c r="AI94" s="61"/>
      <c r="AJ94" s="61"/>
      <c r="AK94" s="61"/>
      <c r="AL94" s="61"/>
      <c r="AM94" s="61"/>
      <c r="AN94" s="61"/>
      <c r="AO94" s="61"/>
      <c r="AP94" s="61"/>
      <c r="AQ94" s="61">
        <v>-4328</v>
      </c>
      <c r="AR94" s="61">
        <f>-5461-AQ94</f>
        <v>-1133</v>
      </c>
      <c r="AS94" s="61">
        <f>-6249-AR94-AQ94</f>
        <v>-788</v>
      </c>
      <c r="AT94" s="61">
        <f>-9614-AS94-AR94-AQ94</f>
        <v>-3365</v>
      </c>
      <c r="AU94" s="61">
        <v>-4481</v>
      </c>
      <c r="AV94" s="61">
        <f>-5071-AU94</f>
        <v>-590</v>
      </c>
      <c r="AW94" s="61">
        <f>-5852-AV94-AU94</f>
        <v>-781</v>
      </c>
      <c r="AX94" s="61">
        <f>-10936-AW94-AV94-AU94</f>
        <v>-5084</v>
      </c>
      <c r="AY94" s="61">
        <v>-4502</v>
      </c>
      <c r="AZ94" s="61">
        <f>-5005-AY94</f>
        <v>-503</v>
      </c>
      <c r="BA94" s="61">
        <f>-6715-AZ94-AY94</f>
        <v>-1710</v>
      </c>
      <c r="BB94" s="61">
        <f>-10106-BA94-AZ94-AY94</f>
        <v>-3391</v>
      </c>
      <c r="BC94" s="61">
        <v>-5931</v>
      </c>
      <c r="BD94" s="61">
        <f>-7808-BC94</f>
        <v>-1877</v>
      </c>
      <c r="BE94" s="61">
        <f>-8580-BD94-BC94</f>
        <v>-772</v>
      </c>
      <c r="BF94" s="61">
        <f>-14438-BE94-BD94-BC94</f>
        <v>-5858</v>
      </c>
      <c r="BG94" s="61">
        <v>-5260</v>
      </c>
      <c r="BH94" s="61">
        <f>-8229-BG94</f>
        <v>-2969</v>
      </c>
      <c r="BI94" s="61">
        <f>-9928-BH94-BG94</f>
        <v>-1699</v>
      </c>
      <c r="BJ94" s="61">
        <f>-14515-BI94-BH94-BG94</f>
        <v>-4587</v>
      </c>
      <c r="BK94" s="61">
        <v>-6679</v>
      </c>
      <c r="BL94" s="61">
        <f>-11347-BK94</f>
        <v>-4668</v>
      </c>
      <c r="BM94" s="61">
        <f>-14826-BL94-BK94</f>
        <v>-3479</v>
      </c>
      <c r="BN94" s="61">
        <f>-25897-BM94-BL94-BK94</f>
        <v>-11071</v>
      </c>
      <c r="BO94" s="61">
        <v>-12124</v>
      </c>
      <c r="BP94" s="61">
        <f>-16068-BO94</f>
        <v>-3944</v>
      </c>
      <c r="BQ94" s="61">
        <f>-16683-BP94-BO94</f>
        <v>-615</v>
      </c>
      <c r="BR94" s="61"/>
      <c r="BS94" s="61"/>
      <c r="BT94" s="61"/>
      <c r="BU94" s="61"/>
      <c r="BV94" s="61"/>
      <c r="BW94" s="61"/>
      <c r="BX94" s="61"/>
      <c r="BY94" s="61"/>
      <c r="BZ94" s="61"/>
      <c r="CA94" s="61"/>
      <c r="CB94" s="61"/>
      <c r="CC94" s="61"/>
      <c r="CD94" s="61"/>
      <c r="CE94" s="61"/>
      <c r="CF94" s="61"/>
      <c r="CG94" s="61"/>
      <c r="CH94" s="61"/>
      <c r="CI94" s="61"/>
      <c r="CJ94" s="61"/>
      <c r="CK94" s="61"/>
      <c r="CL94" s="61"/>
      <c r="CM94" s="61"/>
      <c r="CN94" s="61"/>
      <c r="CO94" s="61"/>
    </row>
    <row r="95" spans="1:93" s="17" customFormat="1" ht="12.95" customHeight="1">
      <c r="A95" s="75"/>
      <c r="B95" s="45" t="s">
        <v>301</v>
      </c>
      <c r="C95" s="61"/>
      <c r="D95" s="61"/>
      <c r="E95" s="61"/>
      <c r="F95" s="61"/>
      <c r="G95" s="61"/>
      <c r="H95" s="61"/>
      <c r="I95" s="61"/>
      <c r="J95" s="61"/>
      <c r="K95" s="61"/>
      <c r="L95" s="61"/>
      <c r="M95" s="61"/>
      <c r="N95" s="61"/>
      <c r="O95" s="61"/>
      <c r="P95" s="61"/>
      <c r="Q95" s="61"/>
      <c r="R95" s="61"/>
      <c r="S95" s="61"/>
      <c r="T95" s="61"/>
      <c r="U95" s="61"/>
      <c r="V95" s="61"/>
      <c r="W95" s="61"/>
      <c r="X95" s="61"/>
      <c r="Y95" s="61"/>
      <c r="Z95" s="61"/>
      <c r="AA95" s="61"/>
      <c r="AB95" s="61"/>
      <c r="AC95" s="61"/>
      <c r="AD95" s="61"/>
      <c r="AE95" s="61"/>
      <c r="AF95" s="61"/>
      <c r="AG95" s="61"/>
      <c r="AH95" s="61"/>
      <c r="AI95" s="61"/>
      <c r="AJ95" s="61"/>
      <c r="AK95" s="61"/>
      <c r="AL95" s="61"/>
      <c r="AM95" s="61"/>
      <c r="AN95" s="61"/>
      <c r="AO95" s="61"/>
      <c r="AP95" s="61"/>
      <c r="AQ95" s="61">
        <f>SUM(AQ87:AQ94)</f>
        <v>9815</v>
      </c>
      <c r="AR95" s="61">
        <f>SUM(AR87:AR94)</f>
        <v>15770</v>
      </c>
      <c r="AS95" s="61">
        <f>SUM(AS87:AS94)</f>
        <v>11619</v>
      </c>
      <c r="AT95" s="61">
        <f>SUM(AT87:AT94)</f>
        <v>7412</v>
      </c>
      <c r="AU95" s="61">
        <f t="shared" ref="AU95:AX95" si="223">SUM(AU87:AU94)</f>
        <v>9890</v>
      </c>
      <c r="AV95" s="61">
        <f t="shared" si="223"/>
        <v>15039</v>
      </c>
      <c r="AW95" s="61">
        <f t="shared" si="223"/>
        <v>16688</v>
      </c>
      <c r="AX95" s="61">
        <f t="shared" si="223"/>
        <v>5165</v>
      </c>
      <c r="AY95" s="61">
        <f t="shared" ref="AY95:BB95" si="224">SUM(AY87:AY94)</f>
        <v>10012</v>
      </c>
      <c r="AZ95" s="61">
        <f t="shared" si="224"/>
        <v>24261</v>
      </c>
      <c r="BA95" s="61">
        <f t="shared" si="224"/>
        <v>17506</v>
      </c>
      <c r="BB95" s="61">
        <f t="shared" si="224"/>
        <v>172</v>
      </c>
      <c r="BC95" s="61">
        <f t="shared" ref="BC95:BQ95" si="225">SUM(BC87:BC94)</f>
        <v>11255</v>
      </c>
      <c r="BD95" s="61">
        <f t="shared" si="225"/>
        <v>25255</v>
      </c>
      <c r="BE95" s="61">
        <f t="shared" si="225"/>
        <v>21507</v>
      </c>
      <c r="BF95" s="61">
        <f t="shared" si="225"/>
        <v>-3017</v>
      </c>
      <c r="BG95" s="61">
        <f t="shared" si="225"/>
        <v>23586</v>
      </c>
      <c r="BH95" s="61">
        <f t="shared" si="225"/>
        <v>23961</v>
      </c>
      <c r="BI95" s="61">
        <f t="shared" si="225"/>
        <v>24239</v>
      </c>
      <c r="BJ95" s="61">
        <f t="shared" si="225"/>
        <v>7101</v>
      </c>
      <c r="BK95" s="61">
        <f t="shared" si="225"/>
        <v>29814</v>
      </c>
      <c r="BL95" s="61">
        <f t="shared" si="225"/>
        <v>28577</v>
      </c>
      <c r="BM95" s="61">
        <f t="shared" si="225"/>
        <v>40966</v>
      </c>
      <c r="BN95" s="61">
        <f t="shared" si="225"/>
        <v>9551</v>
      </c>
      <c r="BO95" s="61">
        <f t="shared" si="225"/>
        <v>14314</v>
      </c>
      <c r="BP95" s="61">
        <f t="shared" si="225"/>
        <v>42238</v>
      </c>
      <c r="BQ95" s="61">
        <f t="shared" si="225"/>
        <v>52115</v>
      </c>
      <c r="BR95" s="61"/>
      <c r="BS95" s="61"/>
      <c r="BT95" s="61"/>
      <c r="BU95" s="61"/>
      <c r="BV95" s="61"/>
      <c r="BW95" s="61"/>
      <c r="BX95" s="61"/>
      <c r="BY95" s="61"/>
      <c r="BZ95" s="61"/>
      <c r="CA95" s="61"/>
      <c r="CB95" s="61"/>
      <c r="CC95" s="61"/>
      <c r="CD95" s="61"/>
      <c r="CE95" s="61"/>
      <c r="CF95" s="61"/>
      <c r="CG95" s="61"/>
      <c r="CH95" s="61"/>
      <c r="CI95" s="61"/>
      <c r="CJ95" s="61"/>
      <c r="CK95" s="61"/>
      <c r="CL95" s="61"/>
      <c r="CM95" s="61"/>
      <c r="CN95" s="61"/>
      <c r="CO95" s="61"/>
    </row>
    <row r="96" spans="1:93" s="17" customFormat="1" ht="12.95" customHeight="1">
      <c r="A96" s="75"/>
      <c r="C96" s="61"/>
      <c r="D96" s="61"/>
      <c r="E96" s="61"/>
      <c r="F96" s="61"/>
      <c r="G96" s="61"/>
      <c r="H96" s="61"/>
      <c r="I96" s="61"/>
      <c r="J96" s="61"/>
      <c r="K96" s="61"/>
      <c r="L96" s="61"/>
      <c r="M96" s="61"/>
      <c r="N96" s="61"/>
      <c r="O96" s="61"/>
      <c r="P96" s="61"/>
      <c r="Q96" s="61"/>
      <c r="R96" s="61"/>
      <c r="S96" s="61"/>
      <c r="T96" s="61"/>
      <c r="U96" s="61"/>
      <c r="V96" s="61"/>
      <c r="W96" s="61"/>
      <c r="X96" s="61"/>
      <c r="Y96" s="61"/>
      <c r="Z96" s="61"/>
      <c r="AA96" s="61"/>
      <c r="AB96" s="61"/>
      <c r="AC96" s="61"/>
      <c r="AD96" s="61"/>
      <c r="AE96" s="61"/>
      <c r="AF96" s="61"/>
      <c r="AG96" s="61"/>
      <c r="AH96" s="61"/>
      <c r="AI96" s="61"/>
      <c r="AJ96" s="61"/>
      <c r="AK96" s="61"/>
      <c r="AL96" s="61"/>
      <c r="AM96" s="61"/>
      <c r="AN96" s="61"/>
      <c r="AO96" s="61"/>
      <c r="AP96" s="61"/>
      <c r="AQ96" s="61"/>
      <c r="AR96" s="61"/>
      <c r="AS96" s="61"/>
      <c r="AT96" s="61"/>
      <c r="AU96" s="61"/>
      <c r="AV96" s="61"/>
      <c r="AW96" s="61"/>
      <c r="AX96" s="61"/>
      <c r="AY96" s="61"/>
      <c r="AZ96" s="61"/>
      <c r="BA96" s="61"/>
      <c r="BB96" s="61"/>
      <c r="BC96" s="61"/>
      <c r="BD96" s="61"/>
      <c r="BE96" s="61"/>
      <c r="BF96" s="61"/>
      <c r="BG96" s="61"/>
      <c r="BH96" s="61"/>
      <c r="BI96" s="61"/>
      <c r="BJ96" s="61"/>
      <c r="BK96" s="61"/>
      <c r="BL96" s="61"/>
      <c r="BM96" s="61"/>
      <c r="BN96" s="61"/>
      <c r="BO96" s="61"/>
      <c r="BP96" s="61"/>
      <c r="BQ96" s="61"/>
      <c r="BR96" s="61"/>
      <c r="BS96" s="61"/>
      <c r="BT96" s="61"/>
      <c r="BU96" s="61"/>
      <c r="BV96" s="61"/>
      <c r="BW96" s="61"/>
      <c r="BX96" s="61"/>
      <c r="BY96" s="61"/>
      <c r="BZ96" s="61"/>
      <c r="CA96" s="61"/>
      <c r="CB96" s="61"/>
      <c r="CC96" s="61"/>
      <c r="CD96" s="61"/>
      <c r="CE96" s="61"/>
      <c r="CF96" s="61"/>
      <c r="CG96" s="61"/>
      <c r="CH96" s="61"/>
      <c r="CI96" s="61"/>
      <c r="CJ96" s="61"/>
      <c r="CK96" s="61"/>
      <c r="CL96" s="61"/>
      <c r="CM96" s="61"/>
      <c r="CN96" s="61"/>
      <c r="CO96" s="61"/>
    </row>
    <row r="97" spans="1:93" s="17" customFormat="1" ht="12.95" customHeight="1">
      <c r="A97" s="75"/>
      <c r="B97" s="45" t="s">
        <v>308</v>
      </c>
      <c r="C97" s="61"/>
      <c r="D97" s="61"/>
      <c r="E97" s="61"/>
      <c r="F97" s="61"/>
      <c r="G97" s="61"/>
      <c r="H97" s="61"/>
      <c r="I97" s="61"/>
      <c r="J97" s="61"/>
      <c r="K97" s="61"/>
      <c r="L97" s="61"/>
      <c r="M97" s="61"/>
      <c r="N97" s="61"/>
      <c r="O97" s="61"/>
      <c r="P97" s="61"/>
      <c r="Q97" s="61"/>
      <c r="R97" s="61"/>
      <c r="S97" s="61"/>
      <c r="T97" s="61"/>
      <c r="U97" s="61"/>
      <c r="V97" s="61"/>
      <c r="W97" s="61"/>
      <c r="X97" s="61"/>
      <c r="Y97" s="61"/>
      <c r="Z97" s="61"/>
      <c r="AA97" s="61"/>
      <c r="AB97" s="61"/>
      <c r="AC97" s="61"/>
      <c r="AD97" s="61"/>
      <c r="AE97" s="61"/>
      <c r="AF97" s="61"/>
      <c r="AG97" s="61"/>
      <c r="AH97" s="61"/>
      <c r="AI97" s="61"/>
      <c r="AJ97" s="61"/>
      <c r="AK97" s="61"/>
      <c r="AL97" s="61"/>
      <c r="AM97" s="61"/>
      <c r="AN97" s="61"/>
      <c r="AO97" s="61"/>
      <c r="AP97" s="61"/>
      <c r="AQ97" s="61">
        <v>-885</v>
      </c>
      <c r="AR97" s="61">
        <f>-1059-AQ97</f>
        <v>-174</v>
      </c>
      <c r="AS97" s="61">
        <f>-1553-AR97-AQ97</f>
        <v>-494</v>
      </c>
      <c r="AT97" s="61">
        <f>-2774-AS97-AR97-AQ97</f>
        <v>-1221</v>
      </c>
      <c r="AU97" s="61">
        <v>-393</v>
      </c>
      <c r="AV97" s="61">
        <f>-1025-AU97</f>
        <v>-632</v>
      </c>
      <c r="AW97" s="61">
        <f>-1238-AV97-AU97</f>
        <v>-213</v>
      </c>
      <c r="AX97" s="61">
        <f>-2299-AW97-AV97-AU97</f>
        <v>-1061</v>
      </c>
      <c r="AY97" s="61">
        <v>-56</v>
      </c>
      <c r="AZ97" s="61">
        <f>-184-AY97</f>
        <v>-128</v>
      </c>
      <c r="BA97" s="61">
        <f>-4869-AZ97-AY97</f>
        <v>-4685</v>
      </c>
      <c r="BB97" s="61">
        <f>-16256-BA97-AZ97-AY97</f>
        <v>-11387</v>
      </c>
      <c r="BC97" s="61">
        <v>-97</v>
      </c>
      <c r="BD97" s="61">
        <f>-272-BC97</f>
        <v>-175</v>
      </c>
      <c r="BE97" s="61">
        <f>-785-BD97-BC97</f>
        <v>-513</v>
      </c>
      <c r="BF97" s="61">
        <f>-1050-BE97-BD97-BC97</f>
        <v>-265</v>
      </c>
      <c r="BG97" s="61">
        <v>-260</v>
      </c>
      <c r="BH97" s="61">
        <f>-400-BG97</f>
        <v>-140</v>
      </c>
      <c r="BI97" s="61">
        <f>-1395-BH97-BG97</f>
        <v>-995</v>
      </c>
      <c r="BJ97" s="61">
        <f>-2607-BI97-BH97-BG97</f>
        <v>-1212</v>
      </c>
      <c r="BK97" s="61">
        <v>-108</v>
      </c>
      <c r="BL97" s="61">
        <f>-1265-BK97</f>
        <v>-1157</v>
      </c>
      <c r="BM97" s="61">
        <f>-6061-BL97-BK97</f>
        <v>-4796</v>
      </c>
      <c r="BN97" s="61">
        <f>-13090-BM97-BL97-BK97</f>
        <v>-7029</v>
      </c>
      <c r="BO97" s="61">
        <v>-535</v>
      </c>
      <c r="BP97" s="61">
        <f>-3303-BO97</f>
        <v>-2768</v>
      </c>
      <c r="BQ97" s="61">
        <f>-3688-BP97-BO97</f>
        <v>-385</v>
      </c>
      <c r="BR97" s="61"/>
      <c r="BS97" s="61"/>
      <c r="BT97" s="61"/>
      <c r="BU97" s="61"/>
      <c r="BV97" s="61"/>
      <c r="BW97" s="61"/>
      <c r="BX97" s="61"/>
      <c r="BY97" s="61"/>
      <c r="BZ97" s="61"/>
      <c r="CA97" s="61"/>
      <c r="CB97" s="61"/>
      <c r="CC97" s="61"/>
      <c r="CD97" s="61"/>
      <c r="CE97" s="61"/>
      <c r="CF97" s="61"/>
      <c r="CG97" s="61"/>
      <c r="CH97" s="61"/>
      <c r="CI97" s="61"/>
      <c r="CJ97" s="61"/>
      <c r="CK97" s="61"/>
      <c r="CL97" s="61"/>
      <c r="CM97" s="61"/>
      <c r="CN97" s="61"/>
      <c r="CO97" s="61"/>
    </row>
    <row r="98" spans="1:93" s="17" customFormat="1" ht="12.95" customHeight="1">
      <c r="A98" s="75"/>
      <c r="B98" s="45" t="s">
        <v>203</v>
      </c>
      <c r="C98" s="61"/>
      <c r="D98" s="61"/>
      <c r="E98" s="61"/>
      <c r="F98" s="61"/>
      <c r="G98" s="61"/>
      <c r="H98" s="61"/>
      <c r="I98" s="61"/>
      <c r="J98" s="61"/>
      <c r="K98" s="61"/>
      <c r="L98" s="61"/>
      <c r="M98" s="61"/>
      <c r="N98" s="61"/>
      <c r="O98" s="61"/>
      <c r="P98" s="61"/>
      <c r="Q98" s="61"/>
      <c r="R98" s="61"/>
      <c r="S98" s="61"/>
      <c r="T98" s="61"/>
      <c r="U98" s="61"/>
      <c r="V98" s="61"/>
      <c r="W98" s="61"/>
      <c r="X98" s="61"/>
      <c r="Y98" s="61"/>
      <c r="Z98" s="61"/>
      <c r="AA98" s="61"/>
      <c r="AB98" s="61"/>
      <c r="AC98" s="61"/>
      <c r="AD98" s="61"/>
      <c r="AE98" s="61"/>
      <c r="AF98" s="61"/>
      <c r="AG98" s="61"/>
      <c r="AH98" s="61"/>
      <c r="AI98" s="61"/>
      <c r="AJ98" s="61"/>
      <c r="AK98" s="61"/>
      <c r="AL98" s="61"/>
      <c r="AM98" s="61"/>
      <c r="AN98" s="61"/>
      <c r="AO98" s="61"/>
      <c r="AP98" s="61"/>
      <c r="AQ98" s="61">
        <v>-2073</v>
      </c>
      <c r="AR98" s="61">
        <f>-4458-AQ98+1</f>
        <v>-2384</v>
      </c>
      <c r="AS98" s="61">
        <f>10-6876-AR98-AQ98</f>
        <v>-2409</v>
      </c>
      <c r="AT98" s="61">
        <f>13-9636-AS98-AR98-AQ98</f>
        <v>-2757</v>
      </c>
      <c r="AU98" s="61">
        <v>-2644</v>
      </c>
      <c r="AV98" s="61">
        <f>-4791-AU98</f>
        <v>-2147</v>
      </c>
      <c r="AW98" s="61">
        <f>2-7025-AV98-AU98</f>
        <v>-2232</v>
      </c>
      <c r="AX98" s="61">
        <f>4-8932-AW98-AV98-AU98</f>
        <v>-1905</v>
      </c>
      <c r="AY98" s="61">
        <v>-1667</v>
      </c>
      <c r="AZ98" s="61">
        <f>-2906-AY98</f>
        <v>-1239</v>
      </c>
      <c r="BA98" s="61">
        <f>-4307+3-AZ98-AY98</f>
        <v>-1398</v>
      </c>
      <c r="BB98" s="61">
        <f>7-5825-BA98-AZ98-AY98</f>
        <v>-1514</v>
      </c>
      <c r="BC98" s="61">
        <v>-1402</v>
      </c>
      <c r="BD98" s="61">
        <f>-3111-BC98</f>
        <v>-1709</v>
      </c>
      <c r="BE98" s="61">
        <f>-4286-BD98-BC98</f>
        <v>-1175</v>
      </c>
      <c r="BF98" s="61">
        <f>-6335-BE98-BD98-BC98</f>
        <v>-2049</v>
      </c>
      <c r="BG98" s="61">
        <v>-1520</v>
      </c>
      <c r="BH98" s="61">
        <f>-3955-BG98</f>
        <v>-2435</v>
      </c>
      <c r="BI98" s="61">
        <f>-7185-BH98-BG98</f>
        <v>-3230</v>
      </c>
      <c r="BJ98" s="61">
        <f>-12146-BI98-BH98-BG98</f>
        <v>-4961</v>
      </c>
      <c r="BK98" s="61">
        <v>-4693</v>
      </c>
      <c r="BL98" s="61">
        <f>-10571-BK98</f>
        <v>-5878</v>
      </c>
      <c r="BM98" s="61">
        <f>-16399-BL98-BK98</f>
        <v>-5828</v>
      </c>
      <c r="BN98" s="61">
        <f>-25806-BM98-BL98-BK98</f>
        <v>-9407</v>
      </c>
      <c r="BO98" s="61">
        <v>-8474</v>
      </c>
      <c r="BP98" s="61">
        <f>-18944-BO98</f>
        <v>-10470</v>
      </c>
      <c r="BQ98" s="61">
        <f>-31063+1-BP98-BO98</f>
        <v>-12118</v>
      </c>
      <c r="BR98" s="61"/>
      <c r="BS98" s="61"/>
      <c r="BT98" s="61"/>
      <c r="BU98" s="61"/>
      <c r="BV98" s="61"/>
      <c r="BW98" s="61"/>
      <c r="BX98" s="61"/>
      <c r="BY98" s="61"/>
      <c r="BZ98" s="61"/>
      <c r="CA98" s="61"/>
      <c r="CB98" s="61"/>
      <c r="CC98" s="61"/>
      <c r="CD98" s="61"/>
      <c r="CE98" s="61"/>
      <c r="CF98" s="61"/>
      <c r="CG98" s="61"/>
      <c r="CH98" s="61"/>
      <c r="CI98" s="61"/>
      <c r="CJ98" s="61"/>
      <c r="CK98" s="61"/>
      <c r="CL98" s="61"/>
      <c r="CM98" s="61"/>
      <c r="CN98" s="61"/>
      <c r="CO98" s="61"/>
    </row>
    <row r="99" spans="1:93" s="17" customFormat="1" ht="12.95" customHeight="1">
      <c r="A99" s="75"/>
      <c r="B99" s="45" t="s">
        <v>434</v>
      </c>
      <c r="C99" s="61"/>
      <c r="D99" s="61"/>
      <c r="E99" s="61"/>
      <c r="F99" s="61"/>
      <c r="G99" s="61"/>
      <c r="H99" s="61"/>
      <c r="I99" s="61"/>
      <c r="J99" s="61"/>
      <c r="K99" s="61"/>
      <c r="L99" s="61"/>
      <c r="M99" s="61"/>
      <c r="N99" s="61"/>
      <c r="O99" s="61"/>
      <c r="P99" s="61"/>
      <c r="Q99" s="61"/>
      <c r="R99" s="61"/>
      <c r="S99" s="61"/>
      <c r="T99" s="61"/>
      <c r="U99" s="61"/>
      <c r="V99" s="61"/>
      <c r="W99" s="61"/>
      <c r="X99" s="61"/>
      <c r="Y99" s="61"/>
      <c r="Z99" s="61"/>
      <c r="AA99" s="61"/>
      <c r="AB99" s="61"/>
      <c r="AC99" s="61"/>
      <c r="AD99" s="61"/>
      <c r="AE99" s="61"/>
      <c r="AF99" s="61"/>
      <c r="AG99" s="61"/>
      <c r="AH99" s="61"/>
      <c r="AI99" s="61"/>
      <c r="AJ99" s="61"/>
      <c r="AK99" s="61"/>
      <c r="AL99" s="61"/>
      <c r="AM99" s="61"/>
      <c r="AN99" s="61"/>
      <c r="AO99" s="61"/>
      <c r="AP99" s="61"/>
      <c r="AQ99" s="61">
        <v>0</v>
      </c>
      <c r="AR99" s="61">
        <v>0</v>
      </c>
      <c r="AS99" s="61">
        <v>0</v>
      </c>
      <c r="AT99" s="61">
        <v>0</v>
      </c>
      <c r="AU99" s="61">
        <v>0</v>
      </c>
      <c r="AV99" s="61">
        <v>0</v>
      </c>
      <c r="AW99" s="61">
        <v>0</v>
      </c>
      <c r="AX99" s="61">
        <v>-3</v>
      </c>
      <c r="AY99" s="61">
        <v>0</v>
      </c>
      <c r="AZ99" s="61">
        <v>0</v>
      </c>
      <c r="BA99" s="61">
        <v>0</v>
      </c>
      <c r="BB99" s="61">
        <v>0</v>
      </c>
      <c r="BC99" s="61">
        <v>0</v>
      </c>
      <c r="BD99" s="61">
        <v>0</v>
      </c>
      <c r="BE99" s="61">
        <v>0</v>
      </c>
      <c r="BF99" s="61">
        <f>-18283-BE99-BD99-BC99</f>
        <v>-18283</v>
      </c>
      <c r="BG99" s="61">
        <v>0</v>
      </c>
      <c r="BH99" s="61">
        <v>0</v>
      </c>
      <c r="BI99" s="61">
        <v>0</v>
      </c>
      <c r="BJ99" s="61">
        <f>-7075-BI99-BH99-BG99</f>
        <v>-7075</v>
      </c>
      <c r="BK99" s="61"/>
      <c r="BL99" s="61"/>
      <c r="BM99" s="61"/>
      <c r="BN99" s="61"/>
      <c r="BO99" s="61">
        <v>0</v>
      </c>
      <c r="BP99" s="61">
        <f>-668-BO99</f>
        <v>-668</v>
      </c>
      <c r="BQ99" s="61">
        <f>-668-BP99-BO99</f>
        <v>0</v>
      </c>
      <c r="BR99" s="61"/>
      <c r="BS99" s="61"/>
      <c r="BT99" s="61"/>
      <c r="BU99" s="61"/>
      <c r="BV99" s="61"/>
      <c r="BW99" s="61"/>
      <c r="BX99" s="61"/>
      <c r="BY99" s="61"/>
      <c r="BZ99" s="61"/>
      <c r="CA99" s="61"/>
      <c r="CB99" s="61"/>
      <c r="CC99" s="61"/>
      <c r="CD99" s="61"/>
      <c r="CE99" s="61"/>
      <c r="CF99" s="61"/>
      <c r="CG99" s="61"/>
      <c r="CH99" s="61"/>
      <c r="CI99" s="61"/>
      <c r="CJ99" s="61"/>
      <c r="CK99" s="61"/>
      <c r="CL99" s="61"/>
      <c r="CM99" s="61"/>
      <c r="CN99" s="61"/>
      <c r="CO99" s="61"/>
    </row>
    <row r="100" spans="1:93" s="17" customFormat="1" ht="12.95" customHeight="1">
      <c r="A100" s="75"/>
      <c r="B100" s="45" t="s">
        <v>309</v>
      </c>
      <c r="C100" s="61"/>
      <c r="D100" s="61"/>
      <c r="E100" s="61"/>
      <c r="F100" s="61"/>
      <c r="G100" s="61"/>
      <c r="H100" s="61"/>
      <c r="I100" s="61"/>
      <c r="J100" s="61"/>
      <c r="K100" s="61"/>
      <c r="L100" s="61"/>
      <c r="M100" s="61"/>
      <c r="N100" s="61"/>
      <c r="O100" s="61"/>
      <c r="P100" s="61"/>
      <c r="Q100" s="61"/>
      <c r="R100" s="61"/>
      <c r="S100" s="61"/>
      <c r="T100" s="61"/>
      <c r="U100" s="61"/>
      <c r="V100" s="61"/>
      <c r="W100" s="61"/>
      <c r="X100" s="61"/>
      <c r="Y100" s="61"/>
      <c r="Z100" s="61"/>
      <c r="AA100" s="61"/>
      <c r="AB100" s="61"/>
      <c r="AC100" s="61"/>
      <c r="AD100" s="61"/>
      <c r="AE100" s="61"/>
      <c r="AF100" s="61"/>
      <c r="AG100" s="61"/>
      <c r="AH100" s="61"/>
      <c r="AI100" s="61"/>
      <c r="AJ100" s="61"/>
      <c r="AK100" s="61"/>
      <c r="AL100" s="61"/>
      <c r="AM100" s="61"/>
      <c r="AN100" s="61"/>
      <c r="AO100" s="61"/>
      <c r="AP100" s="61"/>
      <c r="AQ100" s="56">
        <f>6+10+368</f>
        <v>384</v>
      </c>
      <c r="AR100" s="61">
        <f>21+10+368-AQ100</f>
        <v>15</v>
      </c>
      <c r="AS100" s="61">
        <f>368+19-6+57-AR100-AQ100</f>
        <v>39</v>
      </c>
      <c r="AT100" s="61">
        <f>178-248+368+19-AS100-AR100-AQ100</f>
        <v>-121</v>
      </c>
      <c r="AU100" s="61">
        <v>11</v>
      </c>
      <c r="AV100" s="61">
        <f>-48-6+11-AU100</f>
        <v>-54</v>
      </c>
      <c r="AW100" s="61">
        <f>-6-50-3+20-AV100-AU100</f>
        <v>4</v>
      </c>
      <c r="AX100" s="61">
        <f>148-350-97+20-AW100-AV100-AU100</f>
        <v>-240</v>
      </c>
      <c r="AY100" s="61">
        <f>-392+9</f>
        <v>-383</v>
      </c>
      <c r="AZ100" s="61">
        <f>-392+9-AY100</f>
        <v>0</v>
      </c>
      <c r="BA100" s="61">
        <f>11-392+18-AZ100-AY100</f>
        <v>20</v>
      </c>
      <c r="BB100" s="61">
        <f>12+18-392-BA100-AZ100-AY100</f>
        <v>1</v>
      </c>
      <c r="BC100" s="61">
        <f>1-4+367-2350+4</f>
        <v>-1982</v>
      </c>
      <c r="BD100" s="61">
        <f>3-4+768-3755+4-BC100</f>
        <v>-1002</v>
      </c>
      <c r="BE100" s="61">
        <f>2-4+948-6881+4-BD100-BC100</f>
        <v>-2947</v>
      </c>
      <c r="BF100" s="61">
        <f>-4-7109+1172+4-BE100-BD100-BC100</f>
        <v>-6</v>
      </c>
      <c r="BG100" s="61">
        <f>-7-1845+1725</f>
        <v>-127</v>
      </c>
      <c r="BH100" s="61">
        <f>-7-4904+3159-BG100</f>
        <v>-1625</v>
      </c>
      <c r="BI100" s="61">
        <f>-7-6610+4129-BH100-BG100</f>
        <v>-736</v>
      </c>
      <c r="BJ100" s="61">
        <f>-169-9566+6645-BI100-BH100-BG100</f>
        <v>-602</v>
      </c>
      <c r="BK100" s="61">
        <f>33-7-2354+482</f>
        <v>-1846</v>
      </c>
      <c r="BL100" s="61">
        <f>33-251-7259+3381-BK100</f>
        <v>-2250</v>
      </c>
      <c r="BM100" s="61">
        <f>33-259-12082+5593-BL100-BK100</f>
        <v>-2619</v>
      </c>
      <c r="BN100" s="61">
        <f>33-271-13018+8260-BM100-BL100-BK100</f>
        <v>1719</v>
      </c>
      <c r="BO100" s="61">
        <f>-15-1145+14125</f>
        <v>12965</v>
      </c>
      <c r="BP100" s="61">
        <f>-32-10993+17165-BO100</f>
        <v>-6825</v>
      </c>
      <c r="BQ100" s="61">
        <f>-433-19028+17200-BP100-BO100</f>
        <v>-8401</v>
      </c>
      <c r="BR100" s="61"/>
      <c r="BS100" s="61"/>
      <c r="BT100" s="61"/>
      <c r="BU100" s="61"/>
      <c r="BV100" s="61"/>
      <c r="BW100" s="61"/>
      <c r="BX100" s="61"/>
      <c r="BY100" s="61"/>
      <c r="BZ100" s="61"/>
      <c r="CA100" s="61"/>
      <c r="CB100" s="61"/>
      <c r="CC100" s="61"/>
      <c r="CD100" s="61"/>
      <c r="CE100" s="61"/>
      <c r="CF100" s="61"/>
      <c r="CG100" s="61"/>
      <c r="CH100" s="61"/>
      <c r="CI100" s="61"/>
      <c r="CJ100" s="61"/>
      <c r="CK100" s="61"/>
      <c r="CL100" s="61"/>
      <c r="CM100" s="61"/>
      <c r="CN100" s="61"/>
      <c r="CO100" s="61"/>
    </row>
    <row r="101" spans="1:93" s="17" customFormat="1" ht="12.95" customHeight="1">
      <c r="A101" s="75"/>
      <c r="B101" s="45" t="s">
        <v>310</v>
      </c>
      <c r="C101" s="61"/>
      <c r="D101" s="61"/>
      <c r="E101" s="61"/>
      <c r="F101" s="61"/>
      <c r="G101" s="61"/>
      <c r="H101" s="61"/>
      <c r="I101" s="61"/>
      <c r="J101" s="61"/>
      <c r="K101" s="61"/>
      <c r="L101" s="61"/>
      <c r="M101" s="61"/>
      <c r="N101" s="61"/>
      <c r="O101" s="61"/>
      <c r="P101" s="61"/>
      <c r="Q101" s="61"/>
      <c r="R101" s="61"/>
      <c r="S101" s="61"/>
      <c r="T101" s="61"/>
      <c r="U101" s="61"/>
      <c r="V101" s="61"/>
      <c r="W101" s="61"/>
      <c r="X101" s="61"/>
      <c r="Y101" s="61"/>
      <c r="Z101" s="61"/>
      <c r="AA101" s="61"/>
      <c r="AB101" s="61"/>
      <c r="AC101" s="61"/>
      <c r="AD101" s="61"/>
      <c r="AE101" s="61"/>
      <c r="AF101" s="61"/>
      <c r="AG101" s="61"/>
      <c r="AH101" s="61"/>
      <c r="AI101" s="61"/>
      <c r="AJ101" s="61"/>
      <c r="AK101" s="61"/>
      <c r="AL101" s="61"/>
      <c r="AM101" s="61"/>
      <c r="AN101" s="61"/>
      <c r="AO101" s="61"/>
      <c r="AP101" s="61"/>
      <c r="AQ101" s="61">
        <f t="shared" ref="AQ101:AT101" si="226">SUM(AQ97:AQ100)</f>
        <v>-2574</v>
      </c>
      <c r="AR101" s="61">
        <f t="shared" si="226"/>
        <v>-2543</v>
      </c>
      <c r="AS101" s="61">
        <f t="shared" si="226"/>
        <v>-2864</v>
      </c>
      <c r="AT101" s="61">
        <f t="shared" si="226"/>
        <v>-4099</v>
      </c>
      <c r="AU101" s="61">
        <f t="shared" ref="AU101:AX101" si="227">SUM(AU97:AU100)</f>
        <v>-3026</v>
      </c>
      <c r="AV101" s="61">
        <f t="shared" si="227"/>
        <v>-2833</v>
      </c>
      <c r="AW101" s="61">
        <f t="shared" si="227"/>
        <v>-2441</v>
      </c>
      <c r="AX101" s="61">
        <f t="shared" si="227"/>
        <v>-3209</v>
      </c>
      <c r="AY101" s="61">
        <f t="shared" ref="AY101:BB101" si="228">SUM(AY97:AY100)</f>
        <v>-2106</v>
      </c>
      <c r="AZ101" s="61">
        <f t="shared" si="228"/>
        <v>-1367</v>
      </c>
      <c r="BA101" s="61">
        <f t="shared" si="228"/>
        <v>-6063</v>
      </c>
      <c r="BB101" s="61">
        <f t="shared" si="228"/>
        <v>-12900</v>
      </c>
      <c r="BC101" s="61">
        <f t="shared" ref="BC101" si="229">SUM(BC97:BC100)</f>
        <v>-3481</v>
      </c>
      <c r="BD101" s="61">
        <f t="shared" ref="BD101" si="230">SUM(BD97:BD100)</f>
        <v>-2886</v>
      </c>
      <c r="BE101" s="61">
        <f t="shared" ref="BE101" si="231">SUM(BE97:BE100)</f>
        <v>-4635</v>
      </c>
      <c r="BF101" s="61">
        <f t="shared" ref="BF101" si="232">SUM(BF97:BF100)</f>
        <v>-20603</v>
      </c>
      <c r="BG101" s="61">
        <f t="shared" ref="BG101:BJ101" si="233">SUM(BG97:BG100)</f>
        <v>-1907</v>
      </c>
      <c r="BH101" s="61">
        <f t="shared" si="233"/>
        <v>-4200</v>
      </c>
      <c r="BI101" s="61">
        <f t="shared" si="233"/>
        <v>-4961</v>
      </c>
      <c r="BJ101" s="61">
        <f t="shared" si="233"/>
        <v>-13850</v>
      </c>
      <c r="BK101" s="61">
        <f>SUM(BK97:BK100)</f>
        <v>-6647</v>
      </c>
      <c r="BL101" s="61">
        <f>SUM(BL97:BL100)</f>
        <v>-9285</v>
      </c>
      <c r="BM101" s="61">
        <f>SUM(BM97:BM100)</f>
        <v>-13243</v>
      </c>
      <c r="BN101" s="61">
        <f>SUM(BN97:BN100)</f>
        <v>-14717</v>
      </c>
      <c r="BO101" s="61">
        <f>SUM(BO97:BO100)</f>
        <v>3956</v>
      </c>
      <c r="BP101" s="61">
        <f t="shared" ref="BP101:BQ101" si="234">SUM(BP97:BP100)</f>
        <v>-20731</v>
      </c>
      <c r="BQ101" s="61">
        <f t="shared" si="234"/>
        <v>-20904</v>
      </c>
      <c r="BR101" s="61"/>
      <c r="BS101" s="61"/>
      <c r="BT101" s="61"/>
      <c r="BU101" s="61"/>
      <c r="BV101" s="61"/>
      <c r="BW101" s="61"/>
      <c r="BX101" s="61"/>
      <c r="BY101" s="61"/>
      <c r="BZ101" s="61"/>
      <c r="CA101" s="61"/>
      <c r="CB101" s="61"/>
      <c r="CC101" s="61"/>
      <c r="CD101" s="61"/>
      <c r="CE101" s="61"/>
      <c r="CF101" s="61"/>
      <c r="CG101" s="61"/>
      <c r="CH101" s="61"/>
      <c r="CI101" s="61"/>
      <c r="CJ101" s="61"/>
      <c r="CK101" s="61"/>
      <c r="CL101" s="61"/>
      <c r="CM101" s="61"/>
      <c r="CN101" s="61"/>
      <c r="CO101" s="61"/>
    </row>
    <row r="102" spans="1:93" s="17" customFormat="1" ht="12.95" customHeight="1">
      <c r="A102" s="75"/>
      <c r="C102" s="61"/>
      <c r="D102" s="61"/>
      <c r="E102" s="61"/>
      <c r="F102" s="61"/>
      <c r="G102" s="61"/>
      <c r="H102" s="61"/>
      <c r="I102" s="61"/>
      <c r="J102" s="61"/>
      <c r="K102" s="61"/>
      <c r="L102" s="61"/>
      <c r="M102" s="61"/>
      <c r="N102" s="61"/>
      <c r="O102" s="61"/>
      <c r="P102" s="61"/>
      <c r="Q102" s="61"/>
      <c r="R102" s="61"/>
      <c r="S102" s="61"/>
      <c r="T102" s="61"/>
      <c r="U102" s="61"/>
      <c r="V102" s="61"/>
      <c r="W102" s="61"/>
      <c r="X102" s="61"/>
      <c r="Y102" s="61"/>
      <c r="Z102" s="61"/>
      <c r="AA102" s="61"/>
      <c r="AB102" s="61"/>
      <c r="AC102" s="61"/>
      <c r="AD102" s="61"/>
      <c r="AE102" s="61"/>
      <c r="AF102" s="61"/>
      <c r="AG102" s="61"/>
      <c r="AH102" s="61"/>
      <c r="AI102" s="61"/>
      <c r="AJ102" s="61"/>
      <c r="AK102" s="61"/>
      <c r="AL102" s="61"/>
      <c r="AM102" s="61"/>
      <c r="AN102" s="61"/>
      <c r="AO102" s="61"/>
      <c r="AP102" s="61"/>
      <c r="AQ102" s="61"/>
      <c r="AR102" s="61"/>
      <c r="AS102" s="61"/>
      <c r="AT102" s="61"/>
      <c r="AU102" s="61"/>
      <c r="AV102" s="61"/>
      <c r="AW102" s="61"/>
      <c r="AX102" s="61"/>
      <c r="AY102" s="61"/>
      <c r="AZ102" s="61"/>
      <c r="BA102" s="61"/>
      <c r="BB102" s="61"/>
      <c r="BC102" s="61"/>
      <c r="BD102" s="61"/>
      <c r="BE102" s="61"/>
      <c r="BF102" s="61"/>
      <c r="BG102" s="61"/>
      <c r="BH102" s="61"/>
      <c r="BI102" s="61"/>
      <c r="BJ102" s="61"/>
      <c r="BK102" s="61"/>
      <c r="BL102" s="61"/>
      <c r="BM102" s="61"/>
      <c r="BN102" s="61"/>
      <c r="BO102" s="61"/>
      <c r="BP102" s="61"/>
      <c r="BQ102" s="61"/>
      <c r="BR102" s="61"/>
      <c r="BS102" s="61"/>
      <c r="BT102" s="61"/>
      <c r="BU102" s="61"/>
      <c r="BV102" s="61"/>
      <c r="BW102" s="61"/>
      <c r="BX102" s="61"/>
      <c r="BY102" s="61"/>
      <c r="BZ102" s="61"/>
      <c r="CA102" s="61"/>
      <c r="CB102" s="61"/>
      <c r="CC102" s="61"/>
      <c r="CD102" s="61"/>
      <c r="CE102" s="61"/>
      <c r="CF102" s="61"/>
      <c r="CG102" s="61"/>
      <c r="CH102" s="61"/>
      <c r="CI102" s="61"/>
      <c r="CJ102" s="61"/>
      <c r="CK102" s="61"/>
      <c r="CL102" s="61"/>
      <c r="CM102" s="61"/>
      <c r="CN102" s="61"/>
      <c r="CO102" s="61"/>
    </row>
    <row r="103" spans="1:93" s="17" customFormat="1" ht="12.95" customHeight="1">
      <c r="A103" s="75"/>
      <c r="B103" s="45" t="s">
        <v>374</v>
      </c>
      <c r="C103" s="61"/>
      <c r="D103" s="61"/>
      <c r="E103" s="61"/>
      <c r="F103" s="61"/>
      <c r="G103" s="61"/>
      <c r="H103" s="61"/>
      <c r="I103" s="61"/>
      <c r="J103" s="61"/>
      <c r="K103" s="61"/>
      <c r="L103" s="61"/>
      <c r="M103" s="61"/>
      <c r="N103" s="61"/>
      <c r="O103" s="61"/>
      <c r="P103" s="61"/>
      <c r="Q103" s="61"/>
      <c r="R103" s="61"/>
      <c r="S103" s="61"/>
      <c r="T103" s="61"/>
      <c r="U103" s="61"/>
      <c r="V103" s="61"/>
      <c r="W103" s="61"/>
      <c r="X103" s="61"/>
      <c r="Y103" s="61"/>
      <c r="Z103" s="61"/>
      <c r="AA103" s="61"/>
      <c r="AB103" s="61"/>
      <c r="AC103" s="61"/>
      <c r="AD103" s="61"/>
      <c r="AE103" s="61"/>
      <c r="AF103" s="61"/>
      <c r="AG103" s="61"/>
      <c r="AH103" s="61"/>
      <c r="AI103" s="61"/>
      <c r="AJ103" s="61"/>
      <c r="AK103" s="61"/>
      <c r="AL103" s="61"/>
      <c r="AM103" s="61"/>
      <c r="AN103" s="61"/>
      <c r="AO103" s="61"/>
      <c r="AP103" s="61"/>
      <c r="AQ103" s="61">
        <v>-4334</v>
      </c>
      <c r="AR103" s="61">
        <f>-7750-AQ103</f>
        <v>-3416</v>
      </c>
      <c r="AS103" s="61">
        <f>-11321-AR103-AQ103</f>
        <v>-3571</v>
      </c>
      <c r="AT103" s="61">
        <f>-15567-AS103-AR103-AQ103</f>
        <v>-4246</v>
      </c>
      <c r="AU103" s="61">
        <v>-2949</v>
      </c>
      <c r="AV103" s="61">
        <f>-7529-AU103</f>
        <v>-4580</v>
      </c>
      <c r="AW103" s="61">
        <f>-10404-AV103-AU103</f>
        <v>-2875</v>
      </c>
      <c r="AX103" s="61">
        <f>-15334-AW103-AV103-AU103</f>
        <v>-4930</v>
      </c>
      <c r="AY103" s="61">
        <v>-2690</v>
      </c>
      <c r="AZ103" s="61">
        <f>-8211-AY103</f>
        <v>-5521</v>
      </c>
      <c r="BA103" s="61">
        <f>-11195-AZ103-AY103</f>
        <v>-2984</v>
      </c>
      <c r="BB103" s="61">
        <f>-16855-BA103-AZ103-AY103</f>
        <v>-5660</v>
      </c>
      <c r="BC103" s="61">
        <v>-2960</v>
      </c>
      <c r="BD103" s="61">
        <f>-8400-BC103</f>
        <v>-5440</v>
      </c>
      <c r="BE103" s="61">
        <f>-11935-BD103-BC103</f>
        <v>-3535</v>
      </c>
      <c r="BF103" s="61">
        <f>-19447-BE103-BD103-BC103</f>
        <v>-7512</v>
      </c>
      <c r="BG103" s="61">
        <v>-4477</v>
      </c>
      <c r="BH103" s="61">
        <f>-11927-BG103</f>
        <v>-7450</v>
      </c>
      <c r="BI103" s="61">
        <f>-16547-BH103-BG103</f>
        <v>-4620</v>
      </c>
      <c r="BJ103" s="61">
        <f>-24086-BI103-BH103-BG103</f>
        <v>-7539</v>
      </c>
      <c r="BK103" s="61">
        <v>-5199</v>
      </c>
      <c r="BL103" s="61">
        <f>-14022-BK103</f>
        <v>-8823</v>
      </c>
      <c r="BM103" s="61">
        <f>-20163-BL103-BK103</f>
        <v>-6141</v>
      </c>
      <c r="BN103" s="61">
        <f>-29924-BM103-BL103-BK103</f>
        <v>-9761</v>
      </c>
      <c r="BO103" s="61">
        <v>-2836</v>
      </c>
      <c r="BP103" s="61">
        <f>-10285-BO103</f>
        <v>-7449</v>
      </c>
      <c r="BQ103" s="61">
        <f>-12690-BP103-BO103</f>
        <v>-2405</v>
      </c>
      <c r="BR103" s="61"/>
      <c r="BS103" s="61"/>
      <c r="BT103" s="61"/>
      <c r="BU103" s="61"/>
      <c r="BV103" s="61"/>
      <c r="BW103" s="61"/>
      <c r="BX103" s="61"/>
      <c r="BY103" s="61"/>
      <c r="BZ103" s="61"/>
      <c r="CA103" s="61"/>
      <c r="CB103" s="61"/>
      <c r="CC103" s="61"/>
      <c r="CD103" s="61"/>
      <c r="CE103" s="61"/>
      <c r="CF103" s="61"/>
      <c r="CG103" s="61"/>
      <c r="CH103" s="61"/>
      <c r="CI103" s="61"/>
      <c r="CJ103" s="61"/>
      <c r="CK103" s="61"/>
      <c r="CL103" s="61"/>
      <c r="CM103" s="61"/>
      <c r="CN103" s="61"/>
      <c r="CO103" s="61"/>
    </row>
    <row r="104" spans="1:93" s="17" customFormat="1" ht="12.95" customHeight="1">
      <c r="A104" s="75"/>
      <c r="B104" s="45" t="s">
        <v>313</v>
      </c>
      <c r="C104" s="61"/>
      <c r="D104" s="61"/>
      <c r="E104" s="61"/>
      <c r="F104" s="61"/>
      <c r="G104" s="61"/>
      <c r="H104" s="61"/>
      <c r="I104" s="61"/>
      <c r="J104" s="61"/>
      <c r="K104" s="61"/>
      <c r="L104" s="61"/>
      <c r="M104" s="61"/>
      <c r="N104" s="61"/>
      <c r="O104" s="61"/>
      <c r="P104" s="61"/>
      <c r="Q104" s="61"/>
      <c r="R104" s="61"/>
      <c r="S104" s="61"/>
      <c r="T104" s="61"/>
      <c r="U104" s="61"/>
      <c r="V104" s="61"/>
      <c r="W104" s="61"/>
      <c r="X104" s="61"/>
      <c r="Y104" s="61"/>
      <c r="Z104" s="61"/>
      <c r="AA104" s="61"/>
      <c r="AB104" s="61"/>
      <c r="AC104" s="61"/>
      <c r="AD104" s="61"/>
      <c r="AE104" s="61"/>
      <c r="AF104" s="61"/>
      <c r="AG104" s="61"/>
      <c r="AH104" s="61"/>
      <c r="AI104" s="61"/>
      <c r="AJ104" s="61"/>
      <c r="AK104" s="61"/>
      <c r="AL104" s="61"/>
      <c r="AM104" s="61"/>
      <c r="AN104" s="61"/>
      <c r="AO104" s="61"/>
      <c r="AP104" s="61"/>
      <c r="AQ104" s="61">
        <v>-11810</v>
      </c>
      <c r="AR104" s="61">
        <f>-11810-AQ104</f>
        <v>0</v>
      </c>
      <c r="AS104" s="61">
        <f>-19048-AR104-AQ104</f>
        <v>-7238</v>
      </c>
      <c r="AT104" s="61">
        <f>-19048-AS104-AR104-AQ104</f>
        <v>0</v>
      </c>
      <c r="AU104" s="61">
        <v>-12309</v>
      </c>
      <c r="AV104" s="61">
        <f>-12309-AU104</f>
        <v>0</v>
      </c>
      <c r="AW104" s="61">
        <f>-19409-AV104-AU104</f>
        <v>-7100</v>
      </c>
      <c r="AX104" s="61">
        <f>-19409-AW104-AV104-AU104</f>
        <v>0</v>
      </c>
      <c r="AY104" s="61">
        <v>-12551</v>
      </c>
      <c r="AZ104" s="61">
        <f>-12551-AY104</f>
        <v>0</v>
      </c>
      <c r="BA104" s="61">
        <f>-20121-AZ104-AY104</f>
        <v>-7570</v>
      </c>
      <c r="BB104" s="61">
        <f>-20121-BA104-AZ104-AY104</f>
        <v>0</v>
      </c>
      <c r="BC104" s="61">
        <v>-13495</v>
      </c>
      <c r="BD104" s="61">
        <f>-13496-BC104</f>
        <v>-1</v>
      </c>
      <c r="BE104" s="61">
        <f>-21517-BD104-BC104</f>
        <v>-8021</v>
      </c>
      <c r="BF104" s="61">
        <f>-21517-BE104-BD104-BC104</f>
        <v>0</v>
      </c>
      <c r="BG104" s="61">
        <v>-15690</v>
      </c>
      <c r="BH104" s="61">
        <f>-15690-BG104</f>
        <v>0</v>
      </c>
      <c r="BI104" s="61">
        <f>-25303-BH104-BG104</f>
        <v>-9613</v>
      </c>
      <c r="BJ104" s="61">
        <f>-25303-BI104-BH104-BG104</f>
        <v>0</v>
      </c>
      <c r="BK104" s="61">
        <v>-18337</v>
      </c>
      <c r="BL104" s="61">
        <f>-18337-BK104</f>
        <v>0</v>
      </c>
      <c r="BM104" s="61">
        <f>-31767-BL104-BK104</f>
        <v>-13430</v>
      </c>
      <c r="BN104" s="61">
        <f>-31767-BM104-BL104-BK104</f>
        <v>0</v>
      </c>
      <c r="BO104" s="61">
        <v>-28557</v>
      </c>
      <c r="BP104" s="61">
        <f>-28557-BO104</f>
        <v>0</v>
      </c>
      <c r="BQ104" s="61">
        <f>-44140-BP104-BO104</f>
        <v>-15583</v>
      </c>
      <c r="BR104" s="61"/>
      <c r="BS104" s="61"/>
      <c r="BT104" s="61"/>
      <c r="BU104" s="61"/>
      <c r="BV104" s="61"/>
      <c r="BW104" s="61"/>
      <c r="BX104" s="61"/>
      <c r="BY104" s="61"/>
      <c r="BZ104" s="61"/>
      <c r="CA104" s="61"/>
      <c r="CB104" s="61"/>
      <c r="CC104" s="61"/>
      <c r="CD104" s="61"/>
      <c r="CE104" s="61"/>
      <c r="CF104" s="61"/>
      <c r="CG104" s="61"/>
      <c r="CH104" s="61"/>
      <c r="CI104" s="61"/>
      <c r="CJ104" s="61"/>
      <c r="CK104" s="61"/>
      <c r="CL104" s="61"/>
      <c r="CM104" s="61"/>
      <c r="CN104" s="61"/>
      <c r="CO104" s="61"/>
    </row>
    <row r="105" spans="1:93" s="17" customFormat="1" ht="12.95" customHeight="1">
      <c r="A105" s="75"/>
      <c r="B105" s="45" t="s">
        <v>312</v>
      </c>
      <c r="C105" s="61"/>
      <c r="D105" s="61"/>
      <c r="E105" s="61"/>
      <c r="F105" s="61"/>
      <c r="G105" s="61"/>
      <c r="H105" s="61"/>
      <c r="I105" s="61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  <c r="U105" s="61"/>
      <c r="V105" s="61"/>
      <c r="W105" s="61"/>
      <c r="X105" s="61"/>
      <c r="Y105" s="61"/>
      <c r="Z105" s="61"/>
      <c r="AA105" s="61"/>
      <c r="AB105" s="61"/>
      <c r="AC105" s="61"/>
      <c r="AD105" s="61"/>
      <c r="AE105" s="61"/>
      <c r="AF105" s="61"/>
      <c r="AG105" s="61"/>
      <c r="AH105" s="61"/>
      <c r="AI105" s="61"/>
      <c r="AJ105" s="61"/>
      <c r="AK105" s="61"/>
      <c r="AL105" s="61"/>
      <c r="AM105" s="61"/>
      <c r="AN105" s="61"/>
      <c r="AO105" s="61"/>
      <c r="AP105" s="61"/>
      <c r="AQ105" s="61">
        <v>0</v>
      </c>
      <c r="AR105" s="61">
        <v>0</v>
      </c>
      <c r="AS105" s="61">
        <v>0</v>
      </c>
      <c r="AT105" s="61">
        <f>94-AS105-AR105-AQ105</f>
        <v>94</v>
      </c>
      <c r="AU105" s="61">
        <v>-357</v>
      </c>
      <c r="AV105" s="61">
        <f>-433-AU105</f>
        <v>-76</v>
      </c>
      <c r="AW105" s="61">
        <f>-470-AV105-AU105</f>
        <v>-37</v>
      </c>
      <c r="AX105" s="61">
        <f>-741-AW105-AV105-AU105</f>
        <v>-271</v>
      </c>
      <c r="AY105" s="61">
        <v>-420</v>
      </c>
      <c r="AZ105" s="61">
        <f>-428-AY105</f>
        <v>-8</v>
      </c>
      <c r="BA105" s="61">
        <f>-568-AZ105-AY105</f>
        <v>-140</v>
      </c>
      <c r="BB105" s="61">
        <f>-950+5682-BA105-AZ105-AY105</f>
        <v>5300</v>
      </c>
      <c r="BC105" s="61">
        <v>-349</v>
      </c>
      <c r="BD105" s="61">
        <f>9657-6072-BC105</f>
        <v>3934</v>
      </c>
      <c r="BE105" s="61">
        <f>9657-6329+82-BD105-BC105</f>
        <v>-175</v>
      </c>
      <c r="BF105" s="61">
        <f>22160-6689-BE105-BD105-BC105</f>
        <v>12061</v>
      </c>
      <c r="BG105" s="61">
        <f>11120+30-12855</f>
        <v>-1705</v>
      </c>
      <c r="BH105" s="61">
        <f>11120+30-13099-BG105</f>
        <v>-244</v>
      </c>
      <c r="BI105" s="61">
        <f>11120-13399-BH105-BG105</f>
        <v>-330</v>
      </c>
      <c r="BJ105" s="61">
        <f>11215-13623-BI105-BH105-BG105</f>
        <v>-129</v>
      </c>
      <c r="BK105" s="61">
        <v>-478</v>
      </c>
      <c r="BL105" s="61">
        <f>-851-BK105</f>
        <v>-373</v>
      </c>
      <c r="BM105" s="61">
        <f>-1112-BL105-BK105</f>
        <v>-261</v>
      </c>
      <c r="BN105" s="61">
        <f>-1467-BM105-BL105-BK105</f>
        <v>-355</v>
      </c>
      <c r="BO105" s="61">
        <v>-317</v>
      </c>
      <c r="BP105" s="61">
        <f>34513-5370-BO105</f>
        <v>29460</v>
      </c>
      <c r="BQ105" s="61">
        <f>34513+119-5902-BP105-BO105</f>
        <v>-413</v>
      </c>
      <c r="BR105" s="61"/>
      <c r="BS105" s="61"/>
      <c r="BT105" s="61"/>
      <c r="BU105" s="61"/>
      <c r="BV105" s="61"/>
      <c r="BW105" s="61"/>
      <c r="BX105" s="61"/>
      <c r="BY105" s="61"/>
      <c r="BZ105" s="61"/>
      <c r="CA105" s="61"/>
      <c r="CB105" s="61"/>
      <c r="CC105" s="61"/>
      <c r="CD105" s="61"/>
      <c r="CE105" s="61"/>
      <c r="CF105" s="61"/>
      <c r="CG105" s="61"/>
      <c r="CH105" s="61"/>
      <c r="CI105" s="61"/>
      <c r="CJ105" s="61"/>
      <c r="CK105" s="61"/>
      <c r="CL105" s="61"/>
      <c r="CM105" s="61"/>
      <c r="CN105" s="61"/>
      <c r="CO105" s="61"/>
    </row>
    <row r="106" spans="1:93" s="17" customFormat="1" ht="12.95" customHeight="1">
      <c r="A106" s="75"/>
      <c r="B106" s="45" t="s">
        <v>311</v>
      </c>
      <c r="C106" s="61"/>
      <c r="D106" s="61"/>
      <c r="E106" s="61"/>
      <c r="F106" s="61"/>
      <c r="G106" s="61"/>
      <c r="H106" s="61"/>
      <c r="I106" s="61"/>
      <c r="J106" s="61"/>
      <c r="K106" s="61"/>
      <c r="L106" s="61"/>
      <c r="M106" s="61"/>
      <c r="N106" s="61"/>
      <c r="O106" s="61"/>
      <c r="P106" s="61"/>
      <c r="Q106" s="61"/>
      <c r="R106" s="61"/>
      <c r="S106" s="61"/>
      <c r="T106" s="61"/>
      <c r="U106" s="61"/>
      <c r="V106" s="61"/>
      <c r="W106" s="61"/>
      <c r="X106" s="61"/>
      <c r="Y106" s="61"/>
      <c r="Z106" s="61"/>
      <c r="AA106" s="61"/>
      <c r="AB106" s="61"/>
      <c r="AC106" s="61"/>
      <c r="AD106" s="61"/>
      <c r="AE106" s="61"/>
      <c r="AF106" s="61"/>
      <c r="AG106" s="61"/>
      <c r="AH106" s="61"/>
      <c r="AI106" s="61"/>
      <c r="AJ106" s="61"/>
      <c r="AK106" s="61"/>
      <c r="AL106" s="61"/>
      <c r="AM106" s="61"/>
      <c r="AN106" s="61"/>
      <c r="AO106" s="61"/>
      <c r="AP106" s="61"/>
      <c r="AQ106" s="56">
        <v>2007</v>
      </c>
      <c r="AR106" s="61">
        <f>0-AQ106</f>
        <v>-2007</v>
      </c>
      <c r="AS106" s="61">
        <v>0</v>
      </c>
      <c r="AT106" s="61">
        <v>0</v>
      </c>
      <c r="AU106" s="61">
        <v>2090</v>
      </c>
      <c r="AV106" s="61">
        <f>0-AU106</f>
        <v>-2090</v>
      </c>
      <c r="AW106" s="61">
        <f>0-AV106-AU106</f>
        <v>0</v>
      </c>
      <c r="AX106" s="61">
        <v>0</v>
      </c>
      <c r="AY106" s="61">
        <v>2152</v>
      </c>
      <c r="AZ106" s="61">
        <f>0-AY106</f>
        <v>-2152</v>
      </c>
      <c r="BA106" s="61">
        <f>0-AZ106-AY106</f>
        <v>0</v>
      </c>
      <c r="BB106" s="61">
        <v>0</v>
      </c>
      <c r="BC106" s="61">
        <v>2329</v>
      </c>
      <c r="BD106" s="61">
        <f>0-BC106</f>
        <v>-2329</v>
      </c>
      <c r="BE106" s="61">
        <f>0-BD106-BC106</f>
        <v>0</v>
      </c>
      <c r="BF106" s="61">
        <f>0-BE106-BD106-BC106</f>
        <v>0</v>
      </c>
      <c r="BG106" s="61">
        <v>2737</v>
      </c>
      <c r="BH106" s="61">
        <f>0-BG106</f>
        <v>-2737</v>
      </c>
      <c r="BI106" s="61">
        <v>0</v>
      </c>
      <c r="BJ106" s="61">
        <f>0-BI106-BH106-BG106</f>
        <v>0</v>
      </c>
      <c r="BK106" s="61">
        <v>3393</v>
      </c>
      <c r="BL106" s="61">
        <f>0-BK106</f>
        <v>-3393</v>
      </c>
      <c r="BM106" s="61">
        <v>0</v>
      </c>
      <c r="BN106" s="61">
        <v>0</v>
      </c>
      <c r="BO106" s="61">
        <v>5328</v>
      </c>
      <c r="BP106" s="61">
        <f>0-BO106</f>
        <v>-5328</v>
      </c>
      <c r="BQ106" s="61">
        <f>0-BP106-BO106</f>
        <v>0</v>
      </c>
      <c r="BR106" s="61"/>
      <c r="BS106" s="61"/>
      <c r="BT106" s="61"/>
      <c r="BU106" s="61"/>
      <c r="BV106" s="61"/>
      <c r="BW106" s="61"/>
      <c r="BX106" s="61"/>
      <c r="BY106" s="61"/>
      <c r="BZ106" s="61"/>
      <c r="CA106" s="61"/>
      <c r="CB106" s="61"/>
      <c r="CC106" s="61"/>
      <c r="CD106" s="61"/>
      <c r="CE106" s="61"/>
      <c r="CF106" s="61"/>
      <c r="CG106" s="61"/>
      <c r="CH106" s="61"/>
      <c r="CI106" s="61"/>
      <c r="CJ106" s="61"/>
      <c r="CK106" s="61"/>
      <c r="CL106" s="61"/>
      <c r="CM106" s="61"/>
      <c r="CN106" s="61"/>
      <c r="CO106" s="61"/>
    </row>
    <row r="107" spans="1:93" s="17" customFormat="1" ht="12.95" customHeight="1">
      <c r="A107" s="75"/>
      <c r="B107" s="45" t="s">
        <v>310</v>
      </c>
      <c r="C107" s="61"/>
      <c r="D107" s="61"/>
      <c r="E107" s="61"/>
      <c r="F107" s="61"/>
      <c r="G107" s="61"/>
      <c r="H107" s="61"/>
      <c r="I107" s="61"/>
      <c r="J107" s="61"/>
      <c r="K107" s="61"/>
      <c r="L107" s="61"/>
      <c r="M107" s="61"/>
      <c r="N107" s="61"/>
      <c r="O107" s="61"/>
      <c r="P107" s="61"/>
      <c r="Q107" s="61"/>
      <c r="R107" s="61"/>
      <c r="S107" s="61"/>
      <c r="T107" s="61"/>
      <c r="U107" s="61"/>
      <c r="V107" s="61"/>
      <c r="W107" s="61"/>
      <c r="X107" s="61"/>
      <c r="Y107" s="61"/>
      <c r="Z107" s="61"/>
      <c r="AA107" s="61"/>
      <c r="AB107" s="61"/>
      <c r="AC107" s="61"/>
      <c r="AD107" s="61"/>
      <c r="AE107" s="61"/>
      <c r="AF107" s="61"/>
      <c r="AG107" s="61"/>
      <c r="AH107" s="61"/>
      <c r="AI107" s="61"/>
      <c r="AJ107" s="61"/>
      <c r="AK107" s="61"/>
      <c r="AL107" s="61"/>
      <c r="AM107" s="61"/>
      <c r="AN107" s="61"/>
      <c r="AO107" s="61"/>
      <c r="AP107" s="61"/>
      <c r="AQ107" s="61">
        <f t="shared" ref="AQ107:AT107" si="235">SUM(AQ103:AQ106)</f>
        <v>-14137</v>
      </c>
      <c r="AR107" s="61">
        <f t="shared" si="235"/>
        <v>-5423</v>
      </c>
      <c r="AS107" s="61">
        <f t="shared" si="235"/>
        <v>-10809</v>
      </c>
      <c r="AT107" s="61">
        <f t="shared" si="235"/>
        <v>-4152</v>
      </c>
      <c r="AU107" s="61">
        <f t="shared" ref="AU107:AX107" si="236">SUM(AU103:AU106)</f>
        <v>-13525</v>
      </c>
      <c r="AV107" s="61">
        <f t="shared" si="236"/>
        <v>-6746</v>
      </c>
      <c r="AW107" s="61">
        <f t="shared" si="236"/>
        <v>-10012</v>
      </c>
      <c r="AX107" s="61">
        <f t="shared" si="236"/>
        <v>-5201</v>
      </c>
      <c r="AY107" s="61">
        <f t="shared" ref="AY107:BB107" si="237">SUM(AY103:AY106)</f>
        <v>-13509</v>
      </c>
      <c r="AZ107" s="61">
        <f t="shared" si="237"/>
        <v>-7681</v>
      </c>
      <c r="BA107" s="61">
        <f t="shared" si="237"/>
        <v>-10694</v>
      </c>
      <c r="BB107" s="61">
        <f t="shared" si="237"/>
        <v>-360</v>
      </c>
      <c r="BC107" s="61">
        <f t="shared" ref="BC107:BF107" si="238">SUM(BC103:BC106)</f>
        <v>-14475</v>
      </c>
      <c r="BD107" s="61">
        <f t="shared" si="238"/>
        <v>-3836</v>
      </c>
      <c r="BE107" s="61">
        <f t="shared" si="238"/>
        <v>-11731</v>
      </c>
      <c r="BF107" s="61">
        <f t="shared" si="238"/>
        <v>4549</v>
      </c>
      <c r="BG107" s="61">
        <f t="shared" ref="BG107:BQ107" si="239">SUM(BG103:BG106)</f>
        <v>-19135</v>
      </c>
      <c r="BH107" s="61">
        <f t="shared" si="239"/>
        <v>-10431</v>
      </c>
      <c r="BI107" s="61">
        <f t="shared" si="239"/>
        <v>-14563</v>
      </c>
      <c r="BJ107" s="61">
        <f t="shared" si="239"/>
        <v>-7668</v>
      </c>
      <c r="BK107" s="61">
        <f t="shared" si="239"/>
        <v>-20621</v>
      </c>
      <c r="BL107" s="61">
        <f t="shared" si="239"/>
        <v>-12589</v>
      </c>
      <c r="BM107" s="61">
        <f t="shared" si="239"/>
        <v>-19832</v>
      </c>
      <c r="BN107" s="61">
        <f t="shared" si="239"/>
        <v>-10116</v>
      </c>
      <c r="BO107" s="61">
        <f t="shared" si="239"/>
        <v>-26382</v>
      </c>
      <c r="BP107" s="61">
        <f t="shared" si="239"/>
        <v>16683</v>
      </c>
      <c r="BQ107" s="61">
        <f t="shared" si="239"/>
        <v>-18401</v>
      </c>
      <c r="BR107" s="61"/>
      <c r="BS107" s="61"/>
      <c r="BT107" s="61"/>
      <c r="BU107" s="61"/>
      <c r="BV107" s="61"/>
      <c r="BW107" s="61"/>
      <c r="BX107" s="61"/>
      <c r="BY107" s="61"/>
      <c r="BZ107" s="61"/>
      <c r="CA107" s="61"/>
      <c r="CB107" s="61"/>
      <c r="CC107" s="61"/>
      <c r="CD107" s="61"/>
      <c r="CE107" s="61"/>
      <c r="CF107" s="61"/>
      <c r="CG107" s="61"/>
      <c r="CH107" s="61"/>
      <c r="CI107" s="61"/>
      <c r="CJ107" s="61"/>
      <c r="CK107" s="61"/>
      <c r="CL107" s="61"/>
      <c r="CM107" s="61"/>
      <c r="CN107" s="61"/>
      <c r="CO107" s="61"/>
    </row>
    <row r="108" spans="1:93" s="17" customFormat="1" ht="12.95" customHeight="1">
      <c r="A108" s="75"/>
      <c r="C108" s="61"/>
      <c r="D108" s="61"/>
      <c r="E108" s="61"/>
      <c r="F108" s="61"/>
      <c r="G108" s="61"/>
      <c r="H108" s="61"/>
      <c r="I108" s="61"/>
      <c r="J108" s="61"/>
      <c r="K108" s="61"/>
      <c r="L108" s="61"/>
      <c r="M108" s="61"/>
      <c r="N108" s="61"/>
      <c r="O108" s="61"/>
      <c r="P108" s="61"/>
      <c r="Q108" s="61"/>
      <c r="R108" s="61"/>
      <c r="S108" s="61"/>
      <c r="T108" s="61"/>
      <c r="U108" s="61"/>
      <c r="V108" s="61"/>
      <c r="W108" s="61"/>
      <c r="X108" s="61"/>
      <c r="Y108" s="61"/>
      <c r="Z108" s="61"/>
      <c r="AA108" s="61"/>
      <c r="AB108" s="61"/>
      <c r="AC108" s="61"/>
      <c r="AD108" s="61"/>
      <c r="AE108" s="61"/>
      <c r="AF108" s="61"/>
      <c r="AG108" s="61"/>
      <c r="AH108" s="61"/>
      <c r="AI108" s="61"/>
      <c r="AJ108" s="61"/>
      <c r="AK108" s="61"/>
      <c r="AL108" s="61"/>
      <c r="AM108" s="61"/>
      <c r="AN108" s="61"/>
      <c r="AO108" s="61"/>
      <c r="AP108" s="61"/>
      <c r="AQ108" s="61"/>
      <c r="AR108" s="61"/>
      <c r="AS108" s="61"/>
      <c r="AT108" s="61"/>
      <c r="AU108" s="61"/>
      <c r="AV108" s="61"/>
      <c r="AW108" s="61"/>
      <c r="AX108" s="61"/>
      <c r="AY108" s="61"/>
      <c r="AZ108" s="61"/>
      <c r="BA108" s="61"/>
      <c r="BB108" s="61"/>
      <c r="BC108" s="61"/>
      <c r="BD108" s="61"/>
      <c r="BE108" s="61"/>
      <c r="BF108" s="61"/>
      <c r="BG108" s="61"/>
      <c r="BH108" s="61"/>
      <c r="BI108" s="61"/>
      <c r="BJ108" s="61"/>
      <c r="BK108" s="61"/>
      <c r="BL108" s="61"/>
      <c r="BM108" s="61"/>
      <c r="BN108" s="61"/>
      <c r="BO108" s="61"/>
      <c r="BP108" s="61"/>
      <c r="BQ108" s="61"/>
      <c r="BR108" s="61"/>
      <c r="BS108" s="61"/>
      <c r="BT108" s="61"/>
      <c r="BU108" s="61"/>
      <c r="BV108" s="61"/>
      <c r="BW108" s="61"/>
      <c r="BX108" s="61"/>
      <c r="BY108" s="61"/>
      <c r="BZ108" s="61"/>
      <c r="CA108" s="61"/>
      <c r="CB108" s="61"/>
      <c r="CC108" s="61"/>
      <c r="CD108" s="61"/>
      <c r="CE108" s="61"/>
      <c r="CF108" s="61"/>
      <c r="CG108" s="61"/>
      <c r="CH108" s="61"/>
      <c r="CI108" s="61"/>
      <c r="CJ108" s="61"/>
      <c r="CK108" s="61"/>
      <c r="CL108" s="61"/>
      <c r="CM108" s="61"/>
      <c r="CN108" s="61"/>
      <c r="CO108" s="61"/>
    </row>
    <row r="109" spans="1:93" s="17" customFormat="1" ht="12.95" customHeight="1">
      <c r="A109" s="75"/>
      <c r="B109" s="45" t="s">
        <v>314</v>
      </c>
      <c r="C109" s="61"/>
      <c r="D109" s="61"/>
      <c r="E109" s="61"/>
      <c r="F109" s="61"/>
      <c r="G109" s="61"/>
      <c r="H109" s="61"/>
      <c r="I109" s="61"/>
      <c r="J109" s="61"/>
      <c r="K109" s="61"/>
      <c r="L109" s="61"/>
      <c r="M109" s="61"/>
      <c r="N109" s="61"/>
      <c r="O109" s="61"/>
      <c r="P109" s="61"/>
      <c r="Q109" s="61"/>
      <c r="R109" s="61"/>
      <c r="S109" s="61"/>
      <c r="T109" s="61"/>
      <c r="U109" s="61"/>
      <c r="V109" s="61"/>
      <c r="W109" s="61"/>
      <c r="X109" s="61"/>
      <c r="Y109" s="61"/>
      <c r="Z109" s="61"/>
      <c r="AA109" s="61"/>
      <c r="AB109" s="61"/>
      <c r="AC109" s="61"/>
      <c r="AD109" s="61"/>
      <c r="AE109" s="61"/>
      <c r="AF109" s="61"/>
      <c r="AG109" s="61"/>
      <c r="AH109" s="61"/>
      <c r="AI109" s="61"/>
      <c r="AJ109" s="61"/>
      <c r="AK109" s="61"/>
      <c r="AL109" s="61"/>
      <c r="AM109" s="61"/>
      <c r="AN109" s="61"/>
      <c r="AO109" s="61"/>
      <c r="AP109" s="61"/>
      <c r="AQ109" s="61">
        <v>23</v>
      </c>
      <c r="AR109" s="61">
        <f>81-AQ109</f>
        <v>58</v>
      </c>
      <c r="AS109" s="61">
        <f>52-AR109-AQ109</f>
        <v>-29</v>
      </c>
      <c r="AT109" s="61">
        <f>94-AS109-AR109-AQ109</f>
        <v>42</v>
      </c>
      <c r="AU109" s="61">
        <v>78</v>
      </c>
      <c r="AV109" s="61">
        <f>18-AU109</f>
        <v>-60</v>
      </c>
      <c r="AW109" s="61">
        <f>93-AV109-AU109</f>
        <v>75</v>
      </c>
      <c r="AX109" s="61">
        <f>-7-AW109-AV109-AU109</f>
        <v>-100</v>
      </c>
      <c r="AY109" s="61">
        <v>-95</v>
      </c>
      <c r="AZ109" s="61">
        <f>-170-AY109</f>
        <v>-75</v>
      </c>
      <c r="BA109" s="61">
        <f>-305-AZ109-AY109</f>
        <v>-135</v>
      </c>
      <c r="BB109" s="61">
        <f>-456-BA109-AZ109-AY109</f>
        <v>-151</v>
      </c>
      <c r="BC109" s="61">
        <v>154</v>
      </c>
      <c r="BD109" s="61">
        <f>169-BC109</f>
        <v>15</v>
      </c>
      <c r="BE109" s="61">
        <f>291-BD109-BC109</f>
        <v>122</v>
      </c>
      <c r="BF109" s="61">
        <f>591-BE109-BD109-BC109</f>
        <v>300</v>
      </c>
      <c r="BG109" s="61">
        <v>-55</v>
      </c>
      <c r="BH109" s="61">
        <f>163-BG109</f>
        <v>218</v>
      </c>
      <c r="BI109" s="61">
        <f>606-BH109-BG109</f>
        <v>443</v>
      </c>
      <c r="BJ109" s="61">
        <f>-238-BI109-BH109-BG109</f>
        <v>-844</v>
      </c>
      <c r="BK109" s="61">
        <v>-263</v>
      </c>
      <c r="BL109" s="61">
        <f>-328-BK109</f>
        <v>-65</v>
      </c>
      <c r="BM109" s="61">
        <f>90-BL109-BK109</f>
        <v>418</v>
      </c>
      <c r="BN109" s="61">
        <f>-119-BM109-BL109-BK109</f>
        <v>-209</v>
      </c>
      <c r="BO109" s="61">
        <v>44</v>
      </c>
      <c r="BP109" s="61">
        <f>86-BO109</f>
        <v>42</v>
      </c>
      <c r="BQ109" s="61">
        <f>-262-BP109-BO109</f>
        <v>-348</v>
      </c>
      <c r="BR109" s="61"/>
      <c r="BS109" s="61"/>
      <c r="BT109" s="61"/>
      <c r="BU109" s="61"/>
      <c r="BV109" s="61"/>
      <c r="BW109" s="61"/>
      <c r="BX109" s="61"/>
      <c r="BY109" s="61"/>
      <c r="BZ109" s="61"/>
      <c r="CA109" s="61"/>
      <c r="CB109" s="61"/>
      <c r="CC109" s="61"/>
      <c r="CD109" s="61"/>
      <c r="CE109" s="61"/>
      <c r="CF109" s="61"/>
      <c r="CG109" s="61"/>
      <c r="CH109" s="61"/>
      <c r="CI109" s="61"/>
      <c r="CJ109" s="61"/>
      <c r="CK109" s="61"/>
      <c r="CL109" s="61"/>
      <c r="CM109" s="61"/>
      <c r="CN109" s="61"/>
      <c r="CO109" s="61"/>
    </row>
    <row r="110" spans="1:93" s="17" customFormat="1" ht="12.95" customHeight="1">
      <c r="A110" s="75"/>
      <c r="B110" s="45" t="s">
        <v>315</v>
      </c>
      <c r="C110" s="61"/>
      <c r="D110" s="61"/>
      <c r="E110" s="61"/>
      <c r="F110" s="61"/>
      <c r="G110" s="61"/>
      <c r="H110" s="61"/>
      <c r="I110" s="61"/>
      <c r="J110" s="61"/>
      <c r="K110" s="61"/>
      <c r="L110" s="61"/>
      <c r="M110" s="61"/>
      <c r="N110" s="61"/>
      <c r="O110" s="61"/>
      <c r="P110" s="61"/>
      <c r="Q110" s="61"/>
      <c r="R110" s="61"/>
      <c r="S110" s="61"/>
      <c r="T110" s="61"/>
      <c r="U110" s="61"/>
      <c r="V110" s="61"/>
      <c r="W110" s="61"/>
      <c r="X110" s="61"/>
      <c r="Y110" s="61"/>
      <c r="Z110" s="61"/>
      <c r="AA110" s="61"/>
      <c r="AB110" s="61"/>
      <c r="AC110" s="61"/>
      <c r="AD110" s="61"/>
      <c r="AE110" s="61"/>
      <c r="AF110" s="61"/>
      <c r="AG110" s="61"/>
      <c r="AH110" s="61"/>
      <c r="AI110" s="61"/>
      <c r="AJ110" s="61"/>
      <c r="AK110" s="61"/>
      <c r="AL110" s="61"/>
      <c r="AM110" s="61"/>
      <c r="AN110" s="61"/>
      <c r="AO110" s="61"/>
      <c r="AP110" s="61"/>
      <c r="AQ110" s="61">
        <f t="shared" ref="AQ110:AT110" si="240">+AQ109+AQ107+AQ101+AQ95</f>
        <v>-6873</v>
      </c>
      <c r="AR110" s="61">
        <f t="shared" si="240"/>
        <v>7862</v>
      </c>
      <c r="AS110" s="61">
        <f t="shared" si="240"/>
        <v>-2083</v>
      </c>
      <c r="AT110" s="61">
        <f t="shared" si="240"/>
        <v>-797</v>
      </c>
      <c r="AU110" s="61">
        <f t="shared" ref="AU110:AX110" si="241">+AU109+AU107+AU101+AU95</f>
        <v>-6583</v>
      </c>
      <c r="AV110" s="61">
        <f t="shared" si="241"/>
        <v>5400</v>
      </c>
      <c r="AW110" s="61">
        <f t="shared" si="241"/>
        <v>4310</v>
      </c>
      <c r="AX110" s="61">
        <f t="shared" si="241"/>
        <v>-3345</v>
      </c>
      <c r="AY110" s="61">
        <f t="shared" ref="AY110:BB110" si="242">+AY109+AY107+AY101+AY95</f>
        <v>-5698</v>
      </c>
      <c r="AZ110" s="61">
        <f t="shared" si="242"/>
        <v>15138</v>
      </c>
      <c r="BA110" s="61">
        <f t="shared" si="242"/>
        <v>614</v>
      </c>
      <c r="BB110" s="61">
        <f t="shared" si="242"/>
        <v>-13239</v>
      </c>
      <c r="BC110" s="61">
        <f t="shared" ref="BC110:BF110" si="243">+BC109+BC107+BC101+BC95</f>
        <v>-6547</v>
      </c>
      <c r="BD110" s="61">
        <f t="shared" si="243"/>
        <v>18548</v>
      </c>
      <c r="BE110" s="61">
        <f t="shared" si="243"/>
        <v>5263</v>
      </c>
      <c r="BF110" s="61">
        <f t="shared" si="243"/>
        <v>-18771</v>
      </c>
      <c r="BG110" s="61">
        <f t="shared" ref="BG110:BQ110" si="244">+BG109+BG107+BG101+BG95</f>
        <v>2489</v>
      </c>
      <c r="BH110" s="61">
        <f t="shared" si="244"/>
        <v>9548</v>
      </c>
      <c r="BI110" s="61">
        <f t="shared" si="244"/>
        <v>5158</v>
      </c>
      <c r="BJ110" s="61">
        <f t="shared" si="244"/>
        <v>-15261</v>
      </c>
      <c r="BK110" s="61">
        <f t="shared" si="244"/>
        <v>2283</v>
      </c>
      <c r="BL110" s="61">
        <f t="shared" si="244"/>
        <v>6638</v>
      </c>
      <c r="BM110" s="61">
        <f t="shared" si="244"/>
        <v>8309</v>
      </c>
      <c r="BN110" s="61">
        <f t="shared" si="244"/>
        <v>-15491</v>
      </c>
      <c r="BO110" s="61">
        <f t="shared" si="244"/>
        <v>-8068</v>
      </c>
      <c r="BP110" s="61">
        <f t="shared" si="244"/>
        <v>38232</v>
      </c>
      <c r="BQ110" s="61">
        <f t="shared" si="244"/>
        <v>12462</v>
      </c>
      <c r="BR110" s="61"/>
      <c r="BS110" s="61"/>
      <c r="BT110" s="61"/>
      <c r="BU110" s="61"/>
      <c r="BV110" s="61"/>
      <c r="BW110" s="61"/>
      <c r="BX110" s="61"/>
      <c r="BY110" s="61"/>
      <c r="BZ110" s="61"/>
      <c r="CA110" s="61"/>
      <c r="CB110" s="61"/>
      <c r="CC110" s="61"/>
      <c r="CD110" s="61"/>
      <c r="CE110" s="61"/>
      <c r="CF110" s="61"/>
      <c r="CG110" s="61"/>
      <c r="CH110" s="61"/>
      <c r="CI110" s="61"/>
      <c r="CJ110" s="61"/>
      <c r="CK110" s="61"/>
      <c r="CL110" s="61"/>
      <c r="CM110" s="61"/>
      <c r="CN110" s="61"/>
      <c r="CO110" s="61"/>
    </row>
    <row r="111" spans="1:93" s="17" customFormat="1" ht="12.95" customHeight="1">
      <c r="A111" s="75"/>
      <c r="C111" s="61"/>
      <c r="D111" s="61"/>
      <c r="E111" s="61"/>
      <c r="F111" s="61"/>
      <c r="G111" s="61"/>
      <c r="H111" s="61"/>
      <c r="I111" s="61"/>
      <c r="J111" s="61"/>
      <c r="K111" s="61"/>
      <c r="L111" s="61"/>
      <c r="M111" s="61"/>
      <c r="N111" s="61"/>
      <c r="O111" s="61"/>
      <c r="P111" s="61"/>
      <c r="Q111" s="61"/>
      <c r="R111" s="61"/>
      <c r="S111" s="61"/>
      <c r="T111" s="61"/>
      <c r="U111" s="61"/>
      <c r="V111" s="61"/>
      <c r="W111" s="61"/>
      <c r="X111" s="61"/>
      <c r="Y111" s="61"/>
      <c r="Z111" s="61"/>
      <c r="AA111" s="61"/>
      <c r="AB111" s="61"/>
      <c r="AC111" s="61"/>
      <c r="AD111" s="61"/>
      <c r="AE111" s="61"/>
      <c r="AF111" s="61"/>
      <c r="AG111" s="61"/>
      <c r="AH111" s="61"/>
      <c r="AI111" s="61"/>
      <c r="AJ111" s="61"/>
      <c r="AK111" s="61"/>
      <c r="AL111" s="61"/>
      <c r="AM111" s="61"/>
      <c r="AN111" s="61"/>
      <c r="AO111" s="61"/>
      <c r="AP111" s="61"/>
      <c r="AQ111" s="61"/>
      <c r="AR111" s="61"/>
      <c r="AS111" s="61"/>
      <c r="AT111" s="61"/>
      <c r="AU111" s="61"/>
      <c r="AV111" s="61"/>
      <c r="AW111" s="61"/>
      <c r="AX111" s="61"/>
      <c r="AY111" s="61"/>
      <c r="AZ111" s="61"/>
      <c r="BA111" s="61"/>
      <c r="BB111" s="61"/>
      <c r="BC111" s="61"/>
      <c r="BD111" s="61"/>
      <c r="BE111" s="61"/>
      <c r="BF111" s="61"/>
      <c r="BG111" s="61"/>
      <c r="BH111" s="61"/>
      <c r="BI111" s="61"/>
      <c r="BJ111" s="61"/>
      <c r="BK111" s="61"/>
      <c r="BL111" s="61"/>
      <c r="BM111" s="61"/>
      <c r="BN111" s="61"/>
      <c r="BO111" s="61"/>
      <c r="BP111" s="61"/>
      <c r="BQ111" s="61"/>
      <c r="BR111" s="61"/>
      <c r="BS111" s="61"/>
      <c r="BT111" s="61"/>
      <c r="BU111" s="61"/>
      <c r="BV111" s="61"/>
      <c r="BW111" s="61"/>
      <c r="BX111" s="61"/>
      <c r="BY111" s="61"/>
      <c r="BZ111" s="61"/>
      <c r="CA111" s="61"/>
      <c r="CB111" s="61"/>
      <c r="CC111" s="61"/>
      <c r="CD111" s="61"/>
      <c r="CE111" s="61"/>
      <c r="CF111" s="61"/>
      <c r="CG111" s="61"/>
      <c r="CH111" s="61"/>
      <c r="CI111" s="61"/>
      <c r="CJ111" s="61"/>
      <c r="CK111" s="61"/>
      <c r="CL111" s="61"/>
      <c r="CM111" s="61"/>
      <c r="CN111" s="61"/>
      <c r="CO111" s="61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89"/>
  <sheetViews>
    <sheetView zoomScale="130" zoomScaleNormal="130" workbookViewId="0"/>
  </sheetViews>
  <sheetFormatPr defaultColWidth="8.85546875" defaultRowHeight="12.75"/>
  <cols>
    <col min="1" max="1" width="5" bestFit="1" customWidth="1"/>
    <col min="2" max="2" width="12.85546875" customWidth="1"/>
  </cols>
  <sheetData>
    <row r="1" spans="1:3">
      <c r="A1" s="59" t="s">
        <v>55</v>
      </c>
    </row>
    <row r="2" spans="1:3">
      <c r="B2" s="60" t="s">
        <v>216</v>
      </c>
      <c r="C2" s="60" t="s">
        <v>485</v>
      </c>
    </row>
    <row r="3" spans="1:3">
      <c r="B3" s="60" t="s">
        <v>217</v>
      </c>
      <c r="C3" s="60" t="s">
        <v>218</v>
      </c>
    </row>
    <row r="4" spans="1:3">
      <c r="B4" s="60" t="s">
        <v>230</v>
      </c>
      <c r="C4" s="60" t="s">
        <v>231</v>
      </c>
    </row>
    <row r="5" spans="1:3">
      <c r="C5" s="60" t="s">
        <v>232</v>
      </c>
    </row>
    <row r="6" spans="1:3">
      <c r="C6" s="81" t="s">
        <v>233</v>
      </c>
    </row>
    <row r="7" spans="1:3">
      <c r="C7" s="62" t="s">
        <v>234</v>
      </c>
    </row>
    <row r="8" spans="1:3">
      <c r="C8" s="60" t="s">
        <v>558</v>
      </c>
    </row>
    <row r="9" spans="1:3">
      <c r="C9" s="60" t="s">
        <v>235</v>
      </c>
    </row>
    <row r="10" spans="1:3">
      <c r="C10" s="60" t="s">
        <v>236</v>
      </c>
    </row>
    <row r="11" spans="1:3">
      <c r="C11" s="60" t="s">
        <v>237</v>
      </c>
    </row>
    <row r="12" spans="1:3">
      <c r="C12" s="60" t="s">
        <v>255</v>
      </c>
    </row>
    <row r="13" spans="1:3">
      <c r="C13" s="73" t="s">
        <v>559</v>
      </c>
    </row>
    <row r="14" spans="1:3">
      <c r="C14" s="73" t="s">
        <v>560</v>
      </c>
    </row>
    <row r="15" spans="1:3">
      <c r="C15" s="73" t="s">
        <v>561</v>
      </c>
    </row>
    <row r="16" spans="1:3">
      <c r="C16" s="73" t="s">
        <v>562</v>
      </c>
    </row>
    <row r="17" spans="2:5">
      <c r="C17" s="73"/>
    </row>
    <row r="18" spans="2:5">
      <c r="C18" s="60" t="s">
        <v>267</v>
      </c>
    </row>
    <row r="19" spans="2:5">
      <c r="C19" s="60" t="s">
        <v>365</v>
      </c>
    </row>
    <row r="20" spans="2:5">
      <c r="C20" s="60"/>
    </row>
    <row r="21" spans="2:5">
      <c r="C21" s="80">
        <v>27800</v>
      </c>
      <c r="D21" s="73" t="s">
        <v>553</v>
      </c>
    </row>
    <row r="22" spans="2:5">
      <c r="C22" s="78">
        <f>27800*0.15</f>
        <v>4170</v>
      </c>
      <c r="D22" s="60" t="s">
        <v>554</v>
      </c>
    </row>
    <row r="23" spans="2:5">
      <c r="C23" s="61">
        <f>119832/DKK</f>
        <v>16698.298566113455</v>
      </c>
      <c r="D23" s="79" t="s">
        <v>557</v>
      </c>
    </row>
    <row r="24" spans="2:5">
      <c r="C24" s="61">
        <v>5672</v>
      </c>
      <c r="D24" s="79" t="s">
        <v>556</v>
      </c>
      <c r="E24" s="61"/>
    </row>
    <row r="25" spans="2:5">
      <c r="C25" s="60"/>
      <c r="D25" s="78"/>
      <c r="E25" s="61"/>
    </row>
    <row r="26" spans="2:5">
      <c r="B26" s="60" t="s">
        <v>495</v>
      </c>
      <c r="C26" s="60" t="s">
        <v>555</v>
      </c>
    </row>
    <row r="27" spans="2:5">
      <c r="B27" s="60" t="s">
        <v>223</v>
      </c>
      <c r="C27" s="60" t="s">
        <v>563</v>
      </c>
    </row>
    <row r="28" spans="2:5">
      <c r="B28" s="60" t="s">
        <v>157</v>
      </c>
    </row>
    <row r="29" spans="2:5">
      <c r="C29" s="63" t="s">
        <v>281</v>
      </c>
    </row>
    <row r="30" spans="2:5">
      <c r="C30" s="60" t="s">
        <v>326</v>
      </c>
    </row>
    <row r="31" spans="2:5">
      <c r="C31" s="60" t="s">
        <v>530</v>
      </c>
    </row>
    <row r="33" spans="3:8">
      <c r="C33" s="63" t="s">
        <v>256</v>
      </c>
    </row>
    <row r="36" spans="3:8">
      <c r="C36" s="63" t="s">
        <v>283</v>
      </c>
    </row>
    <row r="37" spans="3:8">
      <c r="C37" s="60" t="s">
        <v>282</v>
      </c>
      <c r="H37" s="63"/>
    </row>
    <row r="39" spans="3:8">
      <c r="C39" s="63" t="s">
        <v>407</v>
      </c>
    </row>
    <row r="40" spans="3:8">
      <c r="C40" s="60" t="s">
        <v>348</v>
      </c>
    </row>
    <row r="41" spans="3:8">
      <c r="C41" s="60" t="s">
        <v>408</v>
      </c>
    </row>
    <row r="42" spans="3:8">
      <c r="C42" s="73" t="s">
        <v>409</v>
      </c>
    </row>
    <row r="43" spans="3:8">
      <c r="C43" s="60" t="s">
        <v>294</v>
      </c>
    </row>
    <row r="64" spans="3:3">
      <c r="C64" s="63" t="s">
        <v>293</v>
      </c>
    </row>
    <row r="65" spans="3:3">
      <c r="C65" s="60" t="s">
        <v>404</v>
      </c>
    </row>
    <row r="66" spans="3:3">
      <c r="C66" s="60" t="s">
        <v>429</v>
      </c>
    </row>
    <row r="69" spans="3:3">
      <c r="C69" s="63" t="s">
        <v>512</v>
      </c>
    </row>
    <row r="70" spans="3:3">
      <c r="C70" s="60" t="s">
        <v>519</v>
      </c>
    </row>
    <row r="71" spans="3:3">
      <c r="C71" s="60" t="s">
        <v>520</v>
      </c>
    </row>
    <row r="74" spans="3:3">
      <c r="C74" s="63" t="s">
        <v>496</v>
      </c>
    </row>
    <row r="75" spans="3:3">
      <c r="C75" s="60" t="s">
        <v>497</v>
      </c>
    </row>
    <row r="77" spans="3:3">
      <c r="C77" s="63" t="s">
        <v>501</v>
      </c>
    </row>
    <row r="78" spans="3:3">
      <c r="C78" s="60" t="s">
        <v>498</v>
      </c>
    </row>
    <row r="79" spans="3:3">
      <c r="C79" s="60" t="s">
        <v>499</v>
      </c>
    </row>
    <row r="80" spans="3:3">
      <c r="C80" s="60" t="s">
        <v>500</v>
      </c>
    </row>
    <row r="82" spans="3:3">
      <c r="C82" s="63" t="s">
        <v>502</v>
      </c>
    </row>
    <row r="87" spans="3:3">
      <c r="C87" s="63" t="s">
        <v>532</v>
      </c>
    </row>
    <row r="88" spans="3:3">
      <c r="C88" s="60" t="s">
        <v>533</v>
      </c>
    </row>
    <row r="89" spans="3:3">
      <c r="C89" s="60" t="s">
        <v>531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D9D6-9BC4-4D89-B9AF-D6E012CC0510}">
  <dimension ref="A1:E22"/>
  <sheetViews>
    <sheetView zoomScale="120" zoomScaleNormal="120" workbookViewId="0">
      <selection activeCell="F4" sqref="F4"/>
    </sheetView>
  </sheetViews>
  <sheetFormatPr defaultRowHeight="12.75"/>
  <cols>
    <col min="1" max="1" width="4.7109375" bestFit="1" customWidth="1"/>
    <col min="2" max="2" width="12" customWidth="1"/>
  </cols>
  <sheetData>
    <row r="1" spans="1:5">
      <c r="A1" s="59" t="s">
        <v>55</v>
      </c>
    </row>
    <row r="2" spans="1:5">
      <c r="B2" s="60" t="s">
        <v>216</v>
      </c>
      <c r="C2" s="60" t="s">
        <v>173</v>
      </c>
    </row>
    <row r="3" spans="1:5">
      <c r="B3" s="60" t="s">
        <v>217</v>
      </c>
      <c r="C3" s="60" t="s">
        <v>218</v>
      </c>
    </row>
    <row r="4" spans="1:5">
      <c r="B4" s="60" t="s">
        <v>495</v>
      </c>
      <c r="C4" s="60" t="s">
        <v>566</v>
      </c>
    </row>
    <row r="5" spans="1:5">
      <c r="B5" s="60"/>
      <c r="C5" s="60" t="s">
        <v>570</v>
      </c>
    </row>
    <row r="6" spans="1:5">
      <c r="B6" s="60"/>
      <c r="C6" s="60"/>
      <c r="D6" s="60" t="s">
        <v>571</v>
      </c>
    </row>
    <row r="7" spans="1:5">
      <c r="B7" s="60" t="s">
        <v>230</v>
      </c>
      <c r="C7" s="60"/>
    </row>
    <row r="8" spans="1:5">
      <c r="C8" s="81" t="s">
        <v>233</v>
      </c>
    </row>
    <row r="9" spans="1:5">
      <c r="C9" s="81"/>
      <c r="D9" s="60" t="s">
        <v>564</v>
      </c>
    </row>
    <row r="10" spans="1:5">
      <c r="C10" s="81"/>
      <c r="D10" s="60"/>
      <c r="E10" s="60" t="s">
        <v>565</v>
      </c>
    </row>
    <row r="11" spans="1:5">
      <c r="C11" s="81"/>
      <c r="D11" s="60" t="s">
        <v>568</v>
      </c>
      <c r="E11" s="60"/>
    </row>
    <row r="12" spans="1:5">
      <c r="C12" s="62" t="s">
        <v>567</v>
      </c>
    </row>
    <row r="13" spans="1:5">
      <c r="D13" s="60" t="s">
        <v>569</v>
      </c>
    </row>
    <row r="14" spans="1:5">
      <c r="C14" s="60"/>
    </row>
    <row r="15" spans="1:5">
      <c r="C15" s="60"/>
    </row>
    <row r="16" spans="1:5">
      <c r="C16" s="60"/>
    </row>
    <row r="17" spans="3:3">
      <c r="C17" s="60"/>
    </row>
    <row r="18" spans="3:3">
      <c r="C18" s="60"/>
    </row>
    <row r="19" spans="3:3">
      <c r="C19" s="73"/>
    </row>
    <row r="20" spans="3:3">
      <c r="C20" s="73"/>
    </row>
    <row r="21" spans="3:3">
      <c r="C21" s="73"/>
    </row>
    <row r="22" spans="3:3">
      <c r="C22" s="73"/>
    </row>
  </sheetData>
  <hyperlinks>
    <hyperlink ref="A1" location="Main!A1" display="Main" xr:uid="{0F762817-59DD-42F8-89BA-95DDFF4C388D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18" zoomScale="205" zoomScaleNormal="205" workbookViewId="0">
      <selection activeCell="A18" sqref="A18"/>
    </sheetView>
  </sheetViews>
  <sheetFormatPr defaultColWidth="9.140625" defaultRowHeight="12.75"/>
  <cols>
    <col min="1" max="1" width="5" style="60" bestFit="1" customWidth="1"/>
    <col min="2" max="2" width="12.85546875" style="60" bestFit="1" customWidth="1"/>
    <col min="3" max="16384" width="9.140625" style="60"/>
  </cols>
  <sheetData>
    <row r="1" spans="1:3">
      <c r="A1" s="59" t="s">
        <v>55</v>
      </c>
    </row>
    <row r="2" spans="1:3">
      <c r="B2" s="60" t="s">
        <v>216</v>
      </c>
      <c r="C2" s="60" t="s">
        <v>228</v>
      </c>
    </row>
    <row r="3" spans="1:3">
      <c r="B3" s="60" t="s">
        <v>217</v>
      </c>
      <c r="C3" s="60" t="s">
        <v>218</v>
      </c>
    </row>
    <row r="4" spans="1:3">
      <c r="B4" s="60" t="s">
        <v>219</v>
      </c>
      <c r="C4" s="60" t="s">
        <v>220</v>
      </c>
    </row>
    <row r="5" spans="1:3">
      <c r="B5" s="60" t="s">
        <v>168</v>
      </c>
      <c r="C5" s="60" t="s">
        <v>221</v>
      </c>
    </row>
    <row r="6" spans="1:3">
      <c r="B6" s="60" t="s">
        <v>1</v>
      </c>
      <c r="C6" s="60" t="s">
        <v>292</v>
      </c>
    </row>
    <row r="7" spans="1:3">
      <c r="B7" s="60" t="s">
        <v>223</v>
      </c>
      <c r="C7" s="60" t="s">
        <v>224</v>
      </c>
    </row>
    <row r="8" spans="1:3">
      <c r="B8" s="60" t="s">
        <v>3</v>
      </c>
      <c r="C8" s="60" t="s">
        <v>225</v>
      </c>
    </row>
    <row r="9" spans="1:3">
      <c r="C9" s="60" t="s">
        <v>381</v>
      </c>
    </row>
    <row r="10" spans="1:3">
      <c r="C10" s="60" t="s">
        <v>446</v>
      </c>
    </row>
    <row r="11" spans="1:3">
      <c r="C11" s="60" t="s">
        <v>504</v>
      </c>
    </row>
    <row r="12" spans="1:3">
      <c r="C12" s="60" t="s">
        <v>542</v>
      </c>
    </row>
    <row r="13" spans="1:3">
      <c r="B13" s="60" t="s">
        <v>230</v>
      </c>
      <c r="C13" s="60" t="s">
        <v>267</v>
      </c>
    </row>
    <row r="14" spans="1:3">
      <c r="B14" s="60" t="s">
        <v>366</v>
      </c>
      <c r="C14" s="60" t="s">
        <v>367</v>
      </c>
    </row>
    <row r="15" spans="1:3">
      <c r="B15" s="60" t="s">
        <v>157</v>
      </c>
    </row>
    <row r="16" spans="1:3">
      <c r="C16" s="63" t="s">
        <v>293</v>
      </c>
    </row>
    <row r="17" spans="3:4">
      <c r="C17" s="60" t="s">
        <v>404</v>
      </c>
    </row>
    <row r="18" spans="3:4">
      <c r="C18" s="60" t="s">
        <v>429</v>
      </c>
    </row>
    <row r="21" spans="3:4">
      <c r="C21" s="63" t="s">
        <v>407</v>
      </c>
      <c r="D21"/>
    </row>
    <row r="22" spans="3:4">
      <c r="C22" s="60" t="s">
        <v>348</v>
      </c>
      <c r="D22"/>
    </row>
    <row r="23" spans="3:4">
      <c r="C23" s="60" t="s">
        <v>408</v>
      </c>
      <c r="D23"/>
    </row>
    <row r="24" spans="3:4">
      <c r="C24" s="73" t="s">
        <v>409</v>
      </c>
      <c r="D24"/>
    </row>
    <row r="25" spans="3:4">
      <c r="C25" s="60" t="s">
        <v>447</v>
      </c>
      <c r="D25"/>
    </row>
    <row r="27" spans="3:4">
      <c r="C27" s="63" t="s">
        <v>346</v>
      </c>
    </row>
    <row r="28" spans="3:4">
      <c r="C28" s="60" t="s">
        <v>345</v>
      </c>
    </row>
    <row r="29" spans="3:4">
      <c r="C29" s="60" t="s">
        <v>347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488</v>
      </c>
    </row>
    <row r="3" spans="1:3">
      <c r="B3" s="60" t="s">
        <v>217</v>
      </c>
      <c r="C3" s="60" t="s">
        <v>218</v>
      </c>
    </row>
    <row r="4" spans="1:3">
      <c r="B4" s="60" t="s">
        <v>1</v>
      </c>
      <c r="C4" s="60" t="s">
        <v>8</v>
      </c>
    </row>
    <row r="5" spans="1:3">
      <c r="B5" s="60" t="s">
        <v>219</v>
      </c>
      <c r="C5" s="60" t="s">
        <v>274</v>
      </c>
    </row>
    <row r="6" spans="1:3">
      <c r="B6" s="60" t="s">
        <v>339</v>
      </c>
      <c r="C6" s="60" t="s">
        <v>340</v>
      </c>
    </row>
    <row r="7" spans="1:3">
      <c r="B7" s="60" t="s">
        <v>324</v>
      </c>
      <c r="C7" s="60" t="s">
        <v>469</v>
      </c>
    </row>
    <row r="8" spans="1:3">
      <c r="B8" s="60"/>
      <c r="C8" s="60" t="s">
        <v>468</v>
      </c>
    </row>
    <row r="9" spans="1:3">
      <c r="B9" s="60" t="s">
        <v>157</v>
      </c>
    </row>
    <row r="10" spans="1:3">
      <c r="C10" s="63" t="s">
        <v>448</v>
      </c>
    </row>
    <row r="11" spans="1:3">
      <c r="C11" s="60" t="s">
        <v>449</v>
      </c>
    </row>
    <row r="12" spans="1:3">
      <c r="C12" s="60" t="s">
        <v>450</v>
      </c>
    </row>
    <row r="14" spans="1:3">
      <c r="C14" s="63" t="s">
        <v>323</v>
      </c>
    </row>
    <row r="15" spans="1:3">
      <c r="C15" s="60"/>
    </row>
    <row r="16" spans="1:3">
      <c r="C16" s="60"/>
    </row>
    <row r="17" spans="3:3">
      <c r="C17" s="63" t="s">
        <v>368</v>
      </c>
    </row>
    <row r="18" spans="3:3">
      <c r="C18" s="60" t="s">
        <v>377</v>
      </c>
    </row>
    <row r="19" spans="3:3">
      <c r="C19" s="60"/>
    </row>
    <row r="20" spans="3:3">
      <c r="C20" s="60"/>
    </row>
    <row r="21" spans="3:3">
      <c r="C21" s="63" t="s">
        <v>405</v>
      </c>
    </row>
    <row r="22" spans="3:3">
      <c r="C22" s="60" t="s">
        <v>406</v>
      </c>
    </row>
    <row r="25" spans="3:3">
      <c r="C25" s="63" t="s">
        <v>534</v>
      </c>
    </row>
    <row r="26" spans="3:3">
      <c r="C26" s="60" t="s">
        <v>535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329</v>
      </c>
    </row>
    <row r="3" spans="1:3">
      <c r="B3" s="60" t="s">
        <v>217</v>
      </c>
      <c r="C3" s="60" t="s">
        <v>507</v>
      </c>
    </row>
    <row r="4" spans="1:3">
      <c r="B4" s="60" t="s">
        <v>5</v>
      </c>
      <c r="C4" s="60" t="s">
        <v>508</v>
      </c>
    </row>
    <row r="5" spans="1:3">
      <c r="B5" s="60" t="s">
        <v>157</v>
      </c>
    </row>
    <row r="6" spans="1:3">
      <c r="C6" s="63" t="s">
        <v>509</v>
      </c>
    </row>
    <row r="7" spans="1:3">
      <c r="C7" s="60" t="s">
        <v>510</v>
      </c>
    </row>
    <row r="8" spans="1:3">
      <c r="C8" s="60" t="s">
        <v>511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/>
  </sheetViews>
  <sheetFormatPr defaultColWidth="9.140625" defaultRowHeight="12.75"/>
  <cols>
    <col min="1" max="1" width="5" style="60" bestFit="1" customWidth="1"/>
    <col min="2" max="16384" width="9.140625" style="60"/>
  </cols>
  <sheetData>
    <row r="1" spans="1:1">
      <c r="A1" s="59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</vt:i4>
      </vt:variant>
    </vt:vector>
  </HeadingPairs>
  <TitlesOfParts>
    <vt:vector size="25" baseType="lpstr">
      <vt:lpstr>Master</vt:lpstr>
      <vt:lpstr>Main</vt:lpstr>
      <vt:lpstr>Model</vt:lpstr>
      <vt:lpstr>Ozempic</vt:lpstr>
      <vt:lpstr>semaglutide IP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NNC6022</vt:lpstr>
      <vt:lpstr>ziltivekimab</vt:lpstr>
      <vt:lpstr>amycretin</vt:lpstr>
      <vt:lpstr>GLP-1-GIP</vt:lpstr>
      <vt:lpstr>cagrilintide</vt:lpstr>
      <vt:lpstr>conicizumab</vt:lpstr>
      <vt:lpstr>CDR132L</vt:lpstr>
      <vt:lpstr>DKK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2025-05-13T03:23:15Z</dcterms:modified>
  <cp:category/>
  <cp:contentStatus/>
</cp:coreProperties>
</file>